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defaultThemeVersion="166925"/>
  <mc:AlternateContent xmlns:mc="http://schemas.openxmlformats.org/markup-compatibility/2006">
    <mc:Choice Requires="x15">
      <x15ac:absPath xmlns:x15ac="http://schemas.microsoft.com/office/spreadsheetml/2010/11/ac" url="/Users/minzhang/Desktop/"/>
    </mc:Choice>
  </mc:AlternateContent>
  <xr:revisionPtr revIDLastSave="0" documentId="13_ncr:1_{662F6F6E-0DF7-A048-942A-A44D2B16FCFA}" xr6:coauthVersionLast="47" xr6:coauthVersionMax="47" xr10:uidLastSave="{00000000-0000-0000-0000-000000000000}"/>
  <bookViews>
    <workbookView xWindow="0" yWindow="500" windowWidth="33600" windowHeight="19020" xr2:uid="{89ADDD64-DF44-3F40-AA1E-D34355700292}"/>
  </bookViews>
  <sheets>
    <sheet name="Welcome to Mach One EMC sheet" sheetId="2" r:id="rId1"/>
    <sheet name="Impedance and resonance " sheetId="1" r:id="rId2"/>
    <sheet name="Radiation" sheetId="3" r:id="rId3"/>
    <sheet name="dB" sheetId="4" r:id="rId4"/>
    <sheet name="Switching event" sheetId="6" r:id="rId5"/>
    <sheet name="Wire Connections" sheetId="7" r:id="rId6"/>
    <sheet name="Ferrite Check list" sheetId="5"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8" i="6" l="1"/>
  <c r="B2" i="6"/>
  <c r="B4" i="6" s="1"/>
  <c r="B5" i="6" s="1"/>
  <c r="B17" i="3"/>
  <c r="E32" i="4"/>
  <c r="B32" i="4"/>
  <c r="B28" i="4"/>
  <c r="B27" i="4"/>
  <c r="B26" i="4"/>
  <c r="B25" i="4"/>
  <c r="B24" i="4"/>
  <c r="B23" i="4"/>
  <c r="B19" i="4"/>
  <c r="B10" i="4"/>
  <c r="B11" i="4" s="1"/>
  <c r="B5" i="4"/>
  <c r="B2" i="4"/>
  <c r="B9" i="3"/>
  <c r="B11" i="3" s="1"/>
  <c r="B14" i="3" s="1"/>
  <c r="B1" i="3"/>
  <c r="B3" i="3" s="1"/>
  <c r="B5" i="3" s="1"/>
  <c r="B24" i="1"/>
  <c r="B20" i="1"/>
  <c r="B15" i="1"/>
  <c r="B7" i="1"/>
  <c r="B11" i="1" s="1"/>
  <c r="B4" i="1"/>
  <c r="B12" i="4" l="1"/>
  <c r="B13" i="4" s="1"/>
  <c r="B14" i="4" s="1"/>
  <c r="B15" i="4" s="1"/>
  <c r="B6" i="3"/>
  <c r="B7" i="3"/>
  <c r="B13" i="3"/>
</calcChain>
</file>

<file path=xl/sharedStrings.xml><?xml version="1.0" encoding="utf-8"?>
<sst xmlns="http://schemas.openxmlformats.org/spreadsheetml/2006/main" count="96" uniqueCount="85">
  <si>
    <t>Resonance frequency (MHz)</t>
  </si>
  <si>
    <t xml:space="preserve">Resonant Frequency </t>
  </si>
  <si>
    <t xml:space="preserve">Welcome to Mach One Design EMC Caculation sheet. </t>
  </si>
  <si>
    <t>info@mach1design.co.uk</t>
  </si>
  <si>
    <t>You are welcome to provide feedback. Just send an email to</t>
  </si>
  <si>
    <t>Inductance L (μH)</t>
  </si>
  <si>
    <t>Capacitiance (μF)</t>
  </si>
  <si>
    <t>Rough calculation of capacitance</t>
  </si>
  <si>
    <t>ε0</t>
  </si>
  <si>
    <t>εR</t>
  </si>
  <si>
    <t>A (m×m)</t>
  </si>
  <si>
    <t>h(m)</t>
  </si>
  <si>
    <t>Capacitance (pF)</t>
  </si>
  <si>
    <t>Rough caclulation of inductance</t>
  </si>
  <si>
    <t>L (nH)</t>
  </si>
  <si>
    <t>Wire length in cm</t>
  </si>
  <si>
    <t>Impedance Calculation</t>
  </si>
  <si>
    <t>Frequency (MHz)</t>
  </si>
  <si>
    <t>Impedance (Ω)</t>
  </si>
  <si>
    <t>Inductance (nH)</t>
  </si>
  <si>
    <t>Velocity of wave progagation in free air (m/s)</t>
  </si>
  <si>
    <t xml:space="preserve">Ratio </t>
  </si>
  <si>
    <t>Atual velocity of wave propagation (m/s)</t>
  </si>
  <si>
    <t>Signal frequency (MHz)</t>
  </si>
  <si>
    <t>Wavelength λ (m)</t>
  </si>
  <si>
    <t>Half wavelength (m)</t>
  </si>
  <si>
    <t>Quarter wavelength (m)</t>
  </si>
  <si>
    <t>Cable length (m)</t>
  </si>
  <si>
    <t>Cable resonance frequency (half wavelength) (MHz)</t>
  </si>
  <si>
    <t>Cable resonance frequency (quarter wavelength) (MHz)</t>
  </si>
  <si>
    <t xml:space="preserve">Based on the rule of thumb - A length of reasonable sized conductor contributes about 20 nH/inch to the larger loop. The value varies from less than this for small loops. </t>
  </si>
  <si>
    <t>The most fundamental equation for capacitance calculation.</t>
  </si>
  <si>
    <t xml:space="preserve">Basic equation to work out the resonance frequency of an undampened system. </t>
  </si>
  <si>
    <t>dB</t>
  </si>
  <si>
    <t>linear factor</t>
  </si>
  <si>
    <t>Noise level (dBμV) </t>
  </si>
  <si>
    <t>Noise level (μV)</t>
  </si>
  <si>
    <t>Noise current (nA) </t>
  </si>
  <si>
    <t>Power level (W)</t>
  </si>
  <si>
    <t>Power level (mW)</t>
  </si>
  <si>
    <t>𝞓</t>
  </si>
  <si>
    <t>dBμV to dBm Conversion</t>
  </si>
  <si>
    <t>Version 1.0</t>
  </si>
  <si>
    <t>Type in Bold RED cell</t>
  </si>
  <si>
    <t xml:space="preserve">Results shown in Bold Blue </t>
  </si>
  <si>
    <t>Engineers who are not familiar with dBuV and dBm often find it is difficult to digest the true amount of noise. This conversion shows what the noise level (in nA) on a 50 ohm resistor (a typical EMI receiver input impedance).</t>
  </si>
  <si>
    <t>dB or linear factor? You decide</t>
  </si>
  <si>
    <t>dBm to Watt Conversion</t>
  </si>
  <si>
    <t>RF Power (dBm)</t>
  </si>
  <si>
    <t>RF amplifier often gives output power in dBm, this equation tranlates the value to Watt</t>
  </si>
  <si>
    <t>Voltage to dBμV</t>
  </si>
  <si>
    <t>Amplitude in Vpp</t>
  </si>
  <si>
    <t>Vpk</t>
  </si>
  <si>
    <t>Vrms</t>
  </si>
  <si>
    <t>Power over 50 Ω in Watt</t>
  </si>
  <si>
    <t>Power in mW</t>
  </si>
  <si>
    <t>Power in dBm</t>
  </si>
  <si>
    <t>Voltage over 50 Ω in dBμV</t>
  </si>
  <si>
    <r>
      <t xml:space="preserve">Measurement resistance (Ω) </t>
    </r>
    <r>
      <rPr>
        <sz val="12"/>
        <color rgb="FFE6000E"/>
        <rFont val="Helvetica Neue"/>
        <family val="2"/>
      </rPr>
      <t xml:space="preserve">(50) </t>
    </r>
  </si>
  <si>
    <r>
      <t xml:space="preserve">Power level (dBm) = </t>
    </r>
    <r>
      <rPr>
        <sz val="12"/>
        <color rgb="FFE6000E"/>
        <rFont val="Helvetica Neue"/>
        <family val="2"/>
      </rPr>
      <t>10</t>
    </r>
    <r>
      <rPr>
        <sz val="12"/>
        <color rgb="FF000000"/>
        <rFont val="Helvetica Neue"/>
        <family val="2"/>
      </rPr>
      <t>log(mW)</t>
    </r>
  </si>
  <si>
    <t>Use signal/function generator to check the result in a spectrum analyser</t>
  </si>
  <si>
    <t>We take the speed of light as an upper bound of the signal that could travel in transmission line, generally they are anywhere from a half to much smaller than that, depending on how the transimission lines are constructured. The speed of propagation on a cable, for instance, is likely 75% or so of the free space value. In PCB (FR4), ratio is set 0.5</t>
  </si>
  <si>
    <t>Ohm to dBΩ Conversion</t>
  </si>
  <si>
    <t>Ohm Ω</t>
  </si>
  <si>
    <t>dBΩ</t>
  </si>
  <si>
    <t>For a single-turn configuration, long sleeve ferrites are preferred as the impedance is proportional to the length of a ferrite core. The best performance is often achieved if the ferrite fits the cable snugly.</t>
  </si>
  <si>
    <t>For a multi-turn configuration, a fat toroid shape is preferred. Keeping the wires wide apart helps improve the performance at high-frequency range (for the reasons we explained before).</t>
  </si>
  <si>
    <t>Place the ferrite at the lower characteristic impedance end of a cable, e.g., equipment chassis.</t>
  </si>
  <si>
    <t>If possible, place the ferrite on a conductive surface (such as the ground plane of a system).</t>
  </si>
  <si>
    <t>If possible, always try maximum impedance (i.e., multi-turn configuration) first. </t>
  </si>
  <si>
    <t>In rare cases where placing a ferrite could increase emissions of signals at a certain frequency, do not remove the ferrite cores. Instead, place another ferrite at the other end of the cable.</t>
  </si>
  <si>
    <t xml:space="preserve">For ferrite cores used as common mode suppressors, saturation is generally not possible. However, if you must place a core around a single conductor, be sure that the current does not exceed the saturation current. 							
							</t>
  </si>
  <si>
    <t xml:space="preserve">Always check the manufacturer’s datasheet and select ferrite materials for maximum resistive loss (that is, not for inductance). </t>
  </si>
  <si>
    <t xml:space="preserve">Do we need to consider transmission line? </t>
  </si>
  <si>
    <t>λ /10</t>
  </si>
  <si>
    <t>As a rule of thumb, if the device you are transmitting electric signals across is larger than 1/10 of a wave length, then you start worrying about transmission line theory.</t>
  </si>
  <si>
    <t>Clock Frequency (MHz)</t>
  </si>
  <si>
    <t>Period (ns)</t>
  </si>
  <si>
    <t>Duty ratio(%)</t>
  </si>
  <si>
    <t>On time d (ns)</t>
  </si>
  <si>
    <t>First corner frequency 1/πd (kHz)</t>
  </si>
  <si>
    <r>
      <t>Rise time t</t>
    </r>
    <r>
      <rPr>
        <b/>
        <vertAlign val="subscript"/>
        <sz val="12"/>
        <color rgb="FF000000"/>
        <rFont val="Helvetica Neue"/>
        <family val="2"/>
      </rPr>
      <t>rise</t>
    </r>
    <r>
      <rPr>
        <b/>
        <sz val="12"/>
        <color rgb="FF000000"/>
        <rFont val="Helvetica Neue"/>
        <family val="2"/>
      </rPr>
      <t>(ns)</t>
    </r>
  </si>
  <si>
    <r>
      <t>Second corner frequency 1/πt</t>
    </r>
    <r>
      <rPr>
        <b/>
        <vertAlign val="subscript"/>
        <sz val="12"/>
        <color rgb="FF000000"/>
        <rFont val="Helvetica Neue"/>
        <family val="2"/>
      </rPr>
      <t xml:space="preserve">rise </t>
    </r>
    <r>
      <rPr>
        <b/>
        <sz val="12"/>
        <color rgb="FF000000"/>
        <rFont val="Helvetica Neue"/>
        <family val="2"/>
      </rPr>
      <t>(MHz)</t>
    </r>
  </si>
  <si>
    <t xml:space="preserve">Between corner point A and B, the noise attenuation is 20dB/dec, after corner point B, attenuation is 40dB/dec. Use this information to locate the noise source. </t>
  </si>
  <si>
    <t>Work in Progress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</si>
</sst>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2"/>
      <color theme="1"/>
      <name val="Calibri"/>
      <family val="2"/>
      <scheme val="minor"/>
    </font>
    <font>
      <sz val="12"/>
      <color theme="1"/>
      <name val="Helvetica"/>
      <family val="2"/>
    </font>
    <font>
      <sz val="20"/>
      <color theme="1"/>
      <name val="Helvetica"/>
      <family val="2"/>
    </font>
    <font>
      <u/>
      <sz val="12"/>
      <color theme="10"/>
      <name val="Calibri"/>
      <family val="2"/>
      <scheme val="minor"/>
    </font>
    <font>
      <u/>
      <sz val="20"/>
      <color theme="10"/>
      <name val="Helvetica"/>
      <family val="2"/>
    </font>
    <font>
      <b/>
      <sz val="12"/>
      <color theme="1"/>
      <name val="Helvetica"/>
      <family val="2"/>
    </font>
    <font>
      <b/>
      <sz val="12"/>
      <color rgb="FFFF0000"/>
      <name val="Helvetica"/>
      <family val="2"/>
    </font>
    <font>
      <b/>
      <sz val="12"/>
      <color rgb="FF0070C0"/>
      <name val="Helvetica"/>
      <family val="2"/>
    </font>
    <font>
      <b/>
      <sz val="12"/>
      <color theme="4"/>
      <name val="Helvetica"/>
      <family val="2"/>
    </font>
    <font>
      <sz val="12"/>
      <color rgb="FF000000"/>
      <name val="Helvetica Neue"/>
      <family val="2"/>
    </font>
    <font>
      <sz val="12"/>
      <color rgb="FFE6000E"/>
      <name val="Helvetica Neue"/>
      <family val="2"/>
    </font>
    <font>
      <sz val="12"/>
      <color rgb="FFE6000E"/>
      <name val="STIXGeneral"/>
    </font>
    <font>
      <sz val="12"/>
      <color rgb="FF808080"/>
      <name val="Helvetica"/>
      <family val="2"/>
    </font>
    <font>
      <b/>
      <sz val="12"/>
      <color rgb="FF000000"/>
      <name val="Helvetica Neue"/>
      <family val="2"/>
    </font>
    <font>
      <b/>
      <vertAlign val="subscript"/>
      <sz val="12"/>
      <color rgb="FF000000"/>
      <name val="Helvetica Neue"/>
      <family val="2"/>
    </font>
  </fonts>
  <fills count="3">
    <fill>
      <patternFill patternType="none"/>
    </fill>
    <fill>
      <patternFill patternType="gray125"/>
    </fill>
    <fill>
      <patternFill patternType="solid">
        <fgColor rgb="FFFFFF00"/>
        <bgColor indexed="64"/>
      </patternFill>
    </fill>
  </fills>
  <borders count="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
    <xf numFmtId="0" fontId="0" fillId="0" borderId="0"/>
    <xf numFmtId="0" fontId="3" fillId="0" borderId="0" applyNumberFormat="0" applyFill="0" applyBorder="0" applyAlignment="0" applyProtection="0"/>
  </cellStyleXfs>
  <cellXfs count="33">
    <xf numFmtId="0" fontId="0" fillId="0" borderId="0" xfId="0"/>
    <xf numFmtId="0" fontId="2" fillId="0" borderId="0" xfId="0" applyFont="1"/>
    <xf numFmtId="0" fontId="1" fillId="0" borderId="0" xfId="0" applyFont="1"/>
    <xf numFmtId="0" fontId="4" fillId="0" borderId="0" xfId="1" applyFont="1"/>
    <xf numFmtId="0" fontId="5" fillId="0" borderId="0" xfId="0" applyFont="1"/>
    <xf numFmtId="0" fontId="6" fillId="0" borderId="0" xfId="0" applyFont="1" applyAlignment="1" applyProtection="1">
      <alignment horizontal="center"/>
      <protection locked="0"/>
    </xf>
    <xf numFmtId="0" fontId="1" fillId="0" borderId="0" xfId="0" applyFont="1" applyAlignment="1">
      <alignment horizontal="center"/>
    </xf>
    <xf numFmtId="0" fontId="7" fillId="0" borderId="0" xfId="0" applyFont="1" applyAlignment="1">
      <alignment horizontal="center"/>
    </xf>
    <xf numFmtId="0" fontId="6" fillId="0" borderId="0" xfId="0" applyFont="1"/>
    <xf numFmtId="0" fontId="8" fillId="0" borderId="0" xfId="0" applyFont="1"/>
    <xf numFmtId="0" fontId="8" fillId="0" borderId="0" xfId="0" applyFont="1" applyAlignment="1">
      <alignment horizontal="center"/>
    </xf>
    <xf numFmtId="0" fontId="9" fillId="0" borderId="0" xfId="0" applyFont="1"/>
    <xf numFmtId="0" fontId="11" fillId="0" borderId="0" xfId="0" applyFont="1"/>
    <xf numFmtId="0" fontId="1" fillId="0" borderId="3" xfId="0" applyFont="1" applyBorder="1"/>
    <xf numFmtId="0" fontId="1" fillId="0" borderId="4" xfId="0" applyFont="1" applyBorder="1" applyAlignment="1">
      <alignment horizontal="left" wrapText="1"/>
    </xf>
    <xf numFmtId="0" fontId="1" fillId="0" borderId="3" xfId="0" applyFont="1" applyBorder="1" applyAlignment="1">
      <alignment horizontal="center" vertical="center"/>
    </xf>
    <xf numFmtId="0" fontId="1" fillId="0" borderId="4" xfId="0" applyFont="1" applyBorder="1"/>
    <xf numFmtId="0" fontId="12" fillId="0" borderId="4" xfId="0" applyFont="1" applyBorder="1"/>
    <xf numFmtId="0" fontId="1" fillId="0" borderId="3" xfId="0" applyFont="1" applyBorder="1" applyAlignment="1">
      <alignment horizontal="center"/>
    </xf>
    <xf numFmtId="0" fontId="13" fillId="0" borderId="0" xfId="0" applyFont="1"/>
    <xf numFmtId="0" fontId="1" fillId="0" borderId="0" xfId="0" applyFont="1" applyFill="1" applyAlignment="1">
      <alignment vertical="top"/>
    </xf>
    <xf numFmtId="0" fontId="1" fillId="0" borderId="0" xfId="0" applyFont="1" applyFill="1" applyAlignment="1">
      <alignment wrapText="1"/>
    </xf>
    <xf numFmtId="0" fontId="1" fillId="0" borderId="0" xfId="0" applyFont="1" applyAlignment="1">
      <alignment horizontal="center"/>
    </xf>
    <xf numFmtId="0" fontId="1" fillId="2" borderId="0" xfId="0" applyFont="1" applyFill="1" applyAlignment="1">
      <alignment horizontal="left" vertical="top" wrapText="1"/>
    </xf>
    <xf numFmtId="0" fontId="1" fillId="0" borderId="0" xfId="0" applyFont="1" applyFill="1" applyAlignment="1">
      <alignment horizontal="center" vertical="top"/>
    </xf>
    <xf numFmtId="0" fontId="1" fillId="2" borderId="0" xfId="0" applyFont="1" applyFill="1" applyAlignment="1">
      <alignment horizontal="left" wrapText="1"/>
    </xf>
    <xf numFmtId="0" fontId="1" fillId="0" borderId="4" xfId="0" applyFont="1" applyBorder="1" applyAlignment="1">
      <alignment horizontal="left" wrapText="1"/>
    </xf>
    <xf numFmtId="0" fontId="1" fillId="0" borderId="4" xfId="0" applyFont="1" applyBorder="1" applyAlignment="1">
      <alignment horizontal="left" vertical="top" wrapText="1"/>
    </xf>
    <xf numFmtId="0" fontId="1" fillId="0" borderId="6" xfId="0" applyFont="1" applyBorder="1" applyAlignment="1">
      <alignment horizontal="left" vertical="top" wrapText="1"/>
    </xf>
    <xf numFmtId="0" fontId="1" fillId="0" borderId="1" xfId="0" applyFont="1" applyBorder="1" applyAlignment="1">
      <alignment horizontal="center" vertical="center"/>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left"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www.signalintegrityjournal.com/articles/2420-structure-resonances-ways-to-identify-locate-and-fix-emi-issues" TargetMode="External"/><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6</xdr:col>
      <xdr:colOff>802640</xdr:colOff>
      <xdr:row>9</xdr:row>
      <xdr:rowOff>50800</xdr:rowOff>
    </xdr:to>
    <xdr:pic>
      <xdr:nvPicPr>
        <xdr:cNvPr id="2" name="Picture 1">
          <a:extLst>
            <a:ext uri="{FF2B5EF4-FFF2-40B4-BE49-F238E27FC236}">
              <a16:creationId xmlns:a16="http://schemas.microsoft.com/office/drawing/2014/main" id="{91845039-725F-3030-5A6A-EA379C910B9D}"/>
            </a:ext>
          </a:extLst>
        </xdr:cNvPr>
        <xdr:cNvPicPr>
          <a:picLocks noChangeAspect="1"/>
        </xdr:cNvPicPr>
      </xdr:nvPicPr>
      <xdr:blipFill>
        <a:blip xmlns:r="http://schemas.openxmlformats.org/officeDocument/2006/relationships" r:embed="rId1"/>
        <a:stretch>
          <a:fillRect/>
        </a:stretch>
      </xdr:blipFill>
      <xdr:spPr>
        <a:xfrm>
          <a:off x="0" y="1005840"/>
          <a:ext cx="5740400" cy="127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9</xdr:col>
      <xdr:colOff>86101</xdr:colOff>
      <xdr:row>8</xdr:row>
      <xdr:rowOff>13338</xdr:rowOff>
    </xdr:to>
    <xdr:pic>
      <xdr:nvPicPr>
        <xdr:cNvPr id="2" name="Picture 1">
          <a:extLst>
            <a:ext uri="{FF2B5EF4-FFF2-40B4-BE49-F238E27FC236}">
              <a16:creationId xmlns:a16="http://schemas.microsoft.com/office/drawing/2014/main" id="{4D35A7EC-6B63-9E4E-951F-4731D510D070}"/>
            </a:ext>
          </a:extLst>
        </xdr:cNvPr>
        <xdr:cNvPicPr>
          <a:picLocks noChangeAspect="1"/>
        </xdr:cNvPicPr>
      </xdr:nvPicPr>
      <xdr:blipFill>
        <a:blip xmlns:r="http://schemas.openxmlformats.org/officeDocument/2006/relationships" r:embed="rId1"/>
        <a:stretch>
          <a:fillRect/>
        </a:stretch>
      </xdr:blipFill>
      <xdr:spPr>
        <a:xfrm>
          <a:off x="7157203" y="0"/>
          <a:ext cx="3401017" cy="1627745"/>
        </a:xfrm>
        <a:prstGeom prst="rect">
          <a:avLst/>
        </a:prstGeom>
      </xdr:spPr>
    </xdr:pic>
    <xdr:clientData/>
  </xdr:twoCellAnchor>
  <xdr:twoCellAnchor editAs="oneCell">
    <xdr:from>
      <xdr:col>9</xdr:col>
      <xdr:colOff>204490</xdr:colOff>
      <xdr:row>0</xdr:row>
      <xdr:rowOff>75339</xdr:rowOff>
    </xdr:from>
    <xdr:to>
      <xdr:col>11</xdr:col>
      <xdr:colOff>51366</xdr:colOff>
      <xdr:row>8</xdr:row>
      <xdr:rowOff>75339</xdr:rowOff>
    </xdr:to>
    <xdr:pic>
      <xdr:nvPicPr>
        <xdr:cNvPr id="3" name="Picture 2">
          <a:hlinkClick xmlns:r="http://schemas.openxmlformats.org/officeDocument/2006/relationships" r:id="rId2"/>
          <a:extLst>
            <a:ext uri="{FF2B5EF4-FFF2-40B4-BE49-F238E27FC236}">
              <a16:creationId xmlns:a16="http://schemas.microsoft.com/office/drawing/2014/main" id="{D6217A9C-E082-2DBC-DD28-3B8FFD97919D}"/>
            </a:ext>
          </a:extLst>
        </xdr:cNvPr>
        <xdr:cNvPicPr>
          <a:picLocks noChangeAspect="1"/>
        </xdr:cNvPicPr>
      </xdr:nvPicPr>
      <xdr:blipFill>
        <a:blip xmlns:r="http://schemas.openxmlformats.org/officeDocument/2006/relationships" r:embed="rId3"/>
        <a:stretch>
          <a:fillRect/>
        </a:stretch>
      </xdr:blipFill>
      <xdr:spPr>
        <a:xfrm>
          <a:off x="10676609" y="75339"/>
          <a:ext cx="1504333" cy="1614407"/>
        </a:xfrm>
        <a:prstGeom prst="rect">
          <a:avLst/>
        </a:prstGeom>
      </xdr:spPr>
    </xdr:pic>
    <xdr:clientData/>
  </xdr:twoCellAnchor>
  <xdr:twoCellAnchor editAs="oneCell">
    <xdr:from>
      <xdr:col>5</xdr:col>
      <xdr:colOff>86102</xdr:colOff>
      <xdr:row>10</xdr:row>
      <xdr:rowOff>14986</xdr:rowOff>
    </xdr:from>
    <xdr:to>
      <xdr:col>16</xdr:col>
      <xdr:colOff>241298</xdr:colOff>
      <xdr:row>27</xdr:row>
      <xdr:rowOff>177798</xdr:rowOff>
    </xdr:to>
    <xdr:pic>
      <xdr:nvPicPr>
        <xdr:cNvPr id="4" name="Picture 3">
          <a:extLst>
            <a:ext uri="{FF2B5EF4-FFF2-40B4-BE49-F238E27FC236}">
              <a16:creationId xmlns:a16="http://schemas.microsoft.com/office/drawing/2014/main" id="{3E87EC6C-EA8C-2F7D-9D73-F543AA2BF99E}"/>
            </a:ext>
          </a:extLst>
        </xdr:cNvPr>
        <xdr:cNvPicPr>
          <a:picLocks noChangeAspect="1"/>
        </xdr:cNvPicPr>
      </xdr:nvPicPr>
      <xdr:blipFill>
        <a:blip xmlns:r="http://schemas.openxmlformats.org/officeDocument/2006/relationships" r:embed="rId4"/>
        <a:stretch>
          <a:fillRect/>
        </a:stretch>
      </xdr:blipFill>
      <xdr:spPr>
        <a:xfrm>
          <a:off x="7243305" y="2038376"/>
          <a:ext cx="9271213" cy="3639168"/>
        </a:xfrm>
        <a:prstGeom prst="rect">
          <a:avLst/>
        </a:prstGeom>
      </xdr:spPr>
    </xdr:pic>
    <xdr:clientData/>
  </xdr:twoCellAnchor>
  <xdr:twoCellAnchor editAs="oneCell">
    <xdr:from>
      <xdr:col>5</xdr:col>
      <xdr:colOff>258306</xdr:colOff>
      <xdr:row>28</xdr:row>
      <xdr:rowOff>103818</xdr:rowOff>
    </xdr:from>
    <xdr:to>
      <xdr:col>16</xdr:col>
      <xdr:colOff>156274</xdr:colOff>
      <xdr:row>41</xdr:row>
      <xdr:rowOff>163164</xdr:rowOff>
    </xdr:to>
    <xdr:pic>
      <xdr:nvPicPr>
        <xdr:cNvPr id="5" name="Picture 4">
          <a:extLst>
            <a:ext uri="{FF2B5EF4-FFF2-40B4-BE49-F238E27FC236}">
              <a16:creationId xmlns:a16="http://schemas.microsoft.com/office/drawing/2014/main" id="{84ECF37A-5A1F-F6E5-6064-E4DF6864BE33}"/>
            </a:ext>
          </a:extLst>
        </xdr:cNvPr>
        <xdr:cNvPicPr>
          <a:picLocks noChangeAspect="1"/>
        </xdr:cNvPicPr>
      </xdr:nvPicPr>
      <xdr:blipFill>
        <a:blip xmlns:r="http://schemas.openxmlformats.org/officeDocument/2006/relationships" r:embed="rId5"/>
        <a:stretch>
          <a:fillRect/>
        </a:stretch>
      </xdr:blipFill>
      <xdr:spPr>
        <a:xfrm>
          <a:off x="7415509" y="5808055"/>
          <a:ext cx="9013985" cy="27177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220133</xdr:colOff>
      <xdr:row>8</xdr:row>
      <xdr:rowOff>59266</xdr:rowOff>
    </xdr:from>
    <xdr:to>
      <xdr:col>6</xdr:col>
      <xdr:colOff>462379</xdr:colOff>
      <xdr:row>19</xdr:row>
      <xdr:rowOff>42333</xdr:rowOff>
    </xdr:to>
    <xdr:pic>
      <xdr:nvPicPr>
        <xdr:cNvPr id="2" name="Picture 1">
          <a:extLst>
            <a:ext uri="{FF2B5EF4-FFF2-40B4-BE49-F238E27FC236}">
              <a16:creationId xmlns:a16="http://schemas.microsoft.com/office/drawing/2014/main" id="{8FE35E51-180E-08D1-BE57-DC6D107E6531}"/>
            </a:ext>
          </a:extLst>
        </xdr:cNvPr>
        <xdr:cNvPicPr>
          <a:picLocks noChangeAspect="1"/>
        </xdr:cNvPicPr>
      </xdr:nvPicPr>
      <xdr:blipFill>
        <a:blip xmlns:r="http://schemas.openxmlformats.org/officeDocument/2006/relationships" r:embed="rId1"/>
        <a:stretch>
          <a:fillRect/>
        </a:stretch>
      </xdr:blipFill>
      <xdr:spPr>
        <a:xfrm>
          <a:off x="3996266" y="1735666"/>
          <a:ext cx="3561180" cy="2218267"/>
        </a:xfrm>
        <a:prstGeom prst="rect">
          <a:avLst/>
        </a:prstGeom>
      </xdr:spPr>
    </xdr:pic>
    <xdr:clientData/>
  </xdr:twoCellAnchor>
  <xdr:twoCellAnchor editAs="oneCell">
    <xdr:from>
      <xdr:col>7</xdr:col>
      <xdr:colOff>126999</xdr:colOff>
      <xdr:row>9</xdr:row>
      <xdr:rowOff>129579</xdr:rowOff>
    </xdr:from>
    <xdr:to>
      <xdr:col>13</xdr:col>
      <xdr:colOff>203200</xdr:colOff>
      <xdr:row>26</xdr:row>
      <xdr:rowOff>70952</xdr:rowOff>
    </xdr:to>
    <xdr:pic>
      <xdr:nvPicPr>
        <xdr:cNvPr id="3" name="Picture 2">
          <a:extLst>
            <a:ext uri="{FF2B5EF4-FFF2-40B4-BE49-F238E27FC236}">
              <a16:creationId xmlns:a16="http://schemas.microsoft.com/office/drawing/2014/main" id="{AB034446-ABF9-3D8A-2ECD-689C09FE571A}"/>
            </a:ext>
          </a:extLst>
        </xdr:cNvPr>
        <xdr:cNvPicPr>
          <a:picLocks noChangeAspect="1"/>
        </xdr:cNvPicPr>
      </xdr:nvPicPr>
      <xdr:blipFill>
        <a:blip xmlns:r="http://schemas.openxmlformats.org/officeDocument/2006/relationships" r:embed="rId2"/>
        <a:stretch>
          <a:fillRect/>
        </a:stretch>
      </xdr:blipFill>
      <xdr:spPr>
        <a:xfrm>
          <a:off x="8051799" y="2009179"/>
          <a:ext cx="5054601" cy="339577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info@mach1design.co.uk"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A635F-9D65-324F-8CB7-7DA282179D6C}">
  <dimension ref="A1:B14"/>
  <sheetViews>
    <sheetView showGridLines="0" tabSelected="1" zoomScale="125" workbookViewId="0">
      <selection activeCell="D14" sqref="D14"/>
    </sheetView>
  </sheetViews>
  <sheetFormatPr baseColWidth="10" defaultRowHeight="16" x14ac:dyDescent="0.2"/>
  <sheetData>
    <row r="1" spans="1:2" ht="26" x14ac:dyDescent="0.3">
      <c r="A1" s="1" t="s">
        <v>2</v>
      </c>
    </row>
    <row r="2" spans="1:2" ht="26" x14ac:dyDescent="0.3">
      <c r="A2" s="1" t="s">
        <v>4</v>
      </c>
    </row>
    <row r="3" spans="1:2" ht="26" x14ac:dyDescent="0.3">
      <c r="A3" s="3" t="s">
        <v>3</v>
      </c>
    </row>
    <row r="12" spans="1:2" x14ac:dyDescent="0.2">
      <c r="A12" s="2" t="s">
        <v>42</v>
      </c>
      <c r="B12" s="2"/>
    </row>
    <row r="13" spans="1:2" x14ac:dyDescent="0.2">
      <c r="A13" s="8" t="s">
        <v>43</v>
      </c>
      <c r="B13" s="2"/>
    </row>
    <row r="14" spans="1:2" x14ac:dyDescent="0.2">
      <c r="A14" s="9" t="s">
        <v>44</v>
      </c>
      <c r="B14" s="2"/>
    </row>
  </sheetData>
  <sheetProtection algorithmName="SHA-512" hashValue="yASLIsoHg/E7n5dZkxtt606k8s7nHsog3RKxe9NuLe4n8nWRlkHom3ZBIvijbz+j/a7LLyX01kxja8JvzAAayQ==" saltValue="O5ysB7lrREk4xxg4wkmQXw==" spinCount="100000" sheet="1" objects="1" scenarios="1" selectLockedCells="1"/>
  <hyperlinks>
    <hyperlink ref="A3" r:id="rId1" xr:uid="{966C2416-D9CE-A441-9AED-B63D402F7EEC}"/>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581F5-9B17-B64C-A1A5-403C74148869}">
  <dimension ref="A1:Q49"/>
  <sheetViews>
    <sheetView topLeftCell="A6" zoomScale="118" workbookViewId="0">
      <selection activeCell="B23" sqref="B23"/>
    </sheetView>
  </sheetViews>
  <sheetFormatPr baseColWidth="10" defaultRowHeight="16" x14ac:dyDescent="0.2"/>
  <cols>
    <col min="1" max="1" width="25.83203125" style="2" customWidth="1"/>
    <col min="2" max="2" width="20.6640625" style="2" customWidth="1"/>
    <col min="3" max="3" width="25.6640625" style="2" customWidth="1"/>
    <col min="4" max="16384" width="10.83203125" style="2"/>
  </cols>
  <sheetData>
    <row r="1" spans="1:17" ht="14" customHeight="1" x14ac:dyDescent="0.2">
      <c r="A1" s="4" t="s">
        <v>1</v>
      </c>
      <c r="C1" s="23" t="s">
        <v>32</v>
      </c>
      <c r="D1" s="23"/>
      <c r="E1" s="20"/>
      <c r="F1" s="24"/>
      <c r="G1" s="24"/>
      <c r="H1" s="24"/>
      <c r="I1" s="24"/>
      <c r="J1" s="24"/>
      <c r="K1" s="24"/>
      <c r="L1" s="24"/>
      <c r="M1" s="24"/>
      <c r="N1" s="24"/>
      <c r="O1" s="24"/>
      <c r="P1" s="24"/>
      <c r="Q1" s="24"/>
    </row>
    <row r="2" spans="1:17" x14ac:dyDescent="0.2">
      <c r="A2" s="2" t="s">
        <v>5</v>
      </c>
      <c r="B2" s="5">
        <v>1</v>
      </c>
      <c r="C2" s="23"/>
      <c r="D2" s="23"/>
      <c r="E2" s="20"/>
      <c r="F2" s="24"/>
      <c r="G2" s="24"/>
      <c r="H2" s="24"/>
      <c r="I2" s="24"/>
      <c r="J2" s="24"/>
      <c r="K2" s="24"/>
      <c r="L2" s="24"/>
      <c r="M2" s="24"/>
      <c r="N2" s="24"/>
      <c r="O2" s="24"/>
      <c r="P2" s="24"/>
      <c r="Q2" s="24"/>
    </row>
    <row r="3" spans="1:17" x14ac:dyDescent="0.2">
      <c r="A3" s="2" t="s">
        <v>6</v>
      </c>
      <c r="B3" s="5">
        <v>1</v>
      </c>
      <c r="C3" s="23"/>
      <c r="D3" s="23"/>
      <c r="E3" s="20"/>
      <c r="F3" s="24"/>
      <c r="G3" s="24"/>
      <c r="H3" s="24"/>
      <c r="I3" s="24"/>
      <c r="J3" s="24"/>
      <c r="K3" s="24"/>
      <c r="L3" s="24"/>
      <c r="M3" s="24"/>
      <c r="N3" s="24"/>
      <c r="O3" s="24"/>
      <c r="P3" s="24"/>
      <c r="Q3" s="24"/>
    </row>
    <row r="4" spans="1:17" x14ac:dyDescent="0.2">
      <c r="A4" s="2" t="s">
        <v>0</v>
      </c>
      <c r="B4" s="7">
        <f>1/(2*PI()*SQRT(B2*B3))</f>
        <v>0.15915494309189535</v>
      </c>
      <c r="C4" s="23"/>
      <c r="D4" s="23"/>
      <c r="E4" s="20"/>
      <c r="F4" s="24"/>
      <c r="G4" s="24"/>
      <c r="H4" s="24"/>
      <c r="I4" s="24"/>
      <c r="J4" s="24"/>
      <c r="K4" s="24"/>
      <c r="L4" s="24"/>
      <c r="M4" s="24"/>
      <c r="N4" s="24"/>
      <c r="O4" s="24"/>
      <c r="P4" s="24"/>
      <c r="Q4" s="24"/>
    </row>
    <row r="5" spans="1:17" x14ac:dyDescent="0.2">
      <c r="F5" s="24"/>
      <c r="G5" s="24"/>
      <c r="H5" s="24"/>
      <c r="I5" s="24"/>
      <c r="J5" s="24"/>
      <c r="K5" s="24"/>
      <c r="L5" s="24"/>
      <c r="M5" s="24"/>
      <c r="N5" s="24"/>
      <c r="O5" s="24"/>
      <c r="P5" s="24"/>
      <c r="Q5" s="24"/>
    </row>
    <row r="6" spans="1:17" ht="16" customHeight="1" x14ac:dyDescent="0.2">
      <c r="A6" s="4" t="s">
        <v>7</v>
      </c>
      <c r="C6" s="23" t="s">
        <v>31</v>
      </c>
      <c r="D6" s="21"/>
      <c r="E6" s="21"/>
      <c r="F6" s="24"/>
      <c r="G6" s="24"/>
      <c r="H6" s="24"/>
      <c r="I6" s="24"/>
      <c r="J6" s="24"/>
      <c r="K6" s="24"/>
      <c r="L6" s="24"/>
      <c r="M6" s="24"/>
      <c r="N6" s="24"/>
      <c r="O6" s="24"/>
      <c r="P6" s="24"/>
      <c r="Q6" s="24"/>
    </row>
    <row r="7" spans="1:17" x14ac:dyDescent="0.2">
      <c r="A7" s="2" t="s">
        <v>8</v>
      </c>
      <c r="B7" s="6">
        <f>8.85*0.000000000001</f>
        <v>8.8499999999999988E-12</v>
      </c>
      <c r="C7" s="23"/>
      <c r="F7" s="24"/>
      <c r="G7" s="24"/>
      <c r="H7" s="24"/>
      <c r="I7" s="24"/>
      <c r="J7" s="24"/>
      <c r="K7" s="24"/>
      <c r="L7" s="24"/>
      <c r="M7" s="24"/>
      <c r="N7" s="24"/>
      <c r="O7" s="24"/>
      <c r="P7" s="24"/>
      <c r="Q7" s="24"/>
    </row>
    <row r="8" spans="1:17" x14ac:dyDescent="0.2">
      <c r="A8" s="2" t="s">
        <v>9</v>
      </c>
      <c r="B8" s="5">
        <v>1</v>
      </c>
      <c r="C8" s="23"/>
      <c r="F8" s="24"/>
      <c r="G8" s="24"/>
      <c r="H8" s="24"/>
      <c r="I8" s="24"/>
      <c r="J8" s="24"/>
      <c r="K8" s="24"/>
      <c r="L8" s="24"/>
      <c r="M8" s="24"/>
      <c r="N8" s="24"/>
      <c r="O8" s="24"/>
      <c r="P8" s="24"/>
      <c r="Q8" s="24"/>
    </row>
    <row r="9" spans="1:17" x14ac:dyDescent="0.2">
      <c r="A9" s="2" t="s">
        <v>10</v>
      </c>
      <c r="B9" s="5">
        <v>0.06</v>
      </c>
      <c r="C9" s="23"/>
      <c r="F9" s="24"/>
      <c r="G9" s="24"/>
      <c r="H9" s="24"/>
      <c r="I9" s="24"/>
      <c r="J9" s="24"/>
      <c r="K9" s="24"/>
      <c r="L9" s="24"/>
      <c r="M9" s="24"/>
      <c r="N9" s="24"/>
      <c r="O9" s="24"/>
      <c r="P9" s="24"/>
      <c r="Q9" s="24"/>
    </row>
    <row r="10" spans="1:17" x14ac:dyDescent="0.2">
      <c r="A10" s="2" t="s">
        <v>11</v>
      </c>
      <c r="B10" s="5">
        <v>4.0000000000000001E-3</v>
      </c>
      <c r="C10" s="23"/>
      <c r="F10" s="24"/>
      <c r="G10" s="24"/>
      <c r="H10" s="24"/>
      <c r="I10" s="24"/>
      <c r="J10" s="24"/>
      <c r="K10" s="24"/>
      <c r="L10" s="24"/>
      <c r="M10" s="24"/>
      <c r="N10" s="24"/>
      <c r="O10" s="24"/>
      <c r="P10" s="24"/>
      <c r="Q10" s="24"/>
    </row>
    <row r="11" spans="1:17" x14ac:dyDescent="0.2">
      <c r="A11" s="2" t="s">
        <v>12</v>
      </c>
      <c r="B11" s="7">
        <f>B7*B8*B9/B10*1000000000000</f>
        <v>132.74999999999997</v>
      </c>
      <c r="C11" s="23"/>
      <c r="F11" s="24"/>
      <c r="G11" s="24"/>
      <c r="H11" s="24"/>
      <c r="I11" s="24"/>
      <c r="J11" s="24"/>
      <c r="K11" s="24"/>
      <c r="L11" s="24"/>
      <c r="M11" s="24"/>
      <c r="N11" s="24"/>
      <c r="O11" s="24"/>
      <c r="P11" s="24"/>
      <c r="Q11" s="24"/>
    </row>
    <row r="12" spans="1:17" x14ac:dyDescent="0.2">
      <c r="F12" s="24"/>
      <c r="G12" s="24"/>
      <c r="H12" s="24"/>
      <c r="I12" s="24"/>
      <c r="J12" s="24"/>
      <c r="K12" s="24"/>
      <c r="L12" s="24"/>
      <c r="M12" s="24"/>
      <c r="N12" s="24"/>
      <c r="O12" s="24"/>
      <c r="P12" s="24"/>
      <c r="Q12" s="24"/>
    </row>
    <row r="13" spans="1:17" ht="16" customHeight="1" x14ac:dyDescent="0.2">
      <c r="A13" s="4" t="s">
        <v>13</v>
      </c>
      <c r="C13" s="23" t="s">
        <v>30</v>
      </c>
      <c r="D13" s="23"/>
      <c r="E13" s="23"/>
      <c r="F13" s="24"/>
      <c r="G13" s="24"/>
      <c r="H13" s="24"/>
      <c r="I13" s="24"/>
      <c r="J13" s="24"/>
      <c r="K13" s="24"/>
      <c r="L13" s="24"/>
      <c r="M13" s="24"/>
      <c r="N13" s="24"/>
      <c r="O13" s="24"/>
      <c r="P13" s="24"/>
      <c r="Q13" s="24"/>
    </row>
    <row r="14" spans="1:17" x14ac:dyDescent="0.2">
      <c r="A14" s="2" t="s">
        <v>15</v>
      </c>
      <c r="B14" s="5">
        <v>1</v>
      </c>
      <c r="C14" s="23"/>
      <c r="D14" s="23"/>
      <c r="E14" s="23"/>
      <c r="F14" s="24"/>
      <c r="G14" s="24"/>
      <c r="H14" s="24"/>
      <c r="I14" s="24"/>
      <c r="J14" s="24"/>
      <c r="K14" s="24"/>
      <c r="L14" s="24"/>
      <c r="M14" s="24"/>
      <c r="N14" s="24"/>
      <c r="O14" s="24"/>
      <c r="P14" s="24"/>
      <c r="Q14" s="24"/>
    </row>
    <row r="15" spans="1:17" x14ac:dyDescent="0.2">
      <c r="A15" s="2" t="s">
        <v>14</v>
      </c>
      <c r="B15" s="7">
        <f>B14*8</f>
        <v>8</v>
      </c>
      <c r="C15" s="23"/>
      <c r="D15" s="23"/>
      <c r="E15" s="23"/>
      <c r="F15" s="24"/>
      <c r="G15" s="24"/>
      <c r="H15" s="24"/>
      <c r="I15" s="24"/>
      <c r="J15" s="24"/>
      <c r="K15" s="24"/>
      <c r="L15" s="24"/>
      <c r="M15" s="24"/>
      <c r="N15" s="24"/>
      <c r="O15" s="24"/>
      <c r="P15" s="24"/>
      <c r="Q15" s="24"/>
    </row>
    <row r="16" spans="1:17" x14ac:dyDescent="0.2">
      <c r="C16" s="23"/>
      <c r="D16" s="23"/>
      <c r="E16" s="23"/>
      <c r="F16" s="24"/>
      <c r="G16" s="24"/>
      <c r="H16" s="24"/>
      <c r="I16" s="24"/>
      <c r="J16" s="24"/>
      <c r="K16" s="24"/>
      <c r="L16" s="24"/>
      <c r="M16" s="24"/>
      <c r="N16" s="24"/>
      <c r="O16" s="24"/>
      <c r="P16" s="24"/>
      <c r="Q16" s="24"/>
    </row>
    <row r="17" spans="1:17" x14ac:dyDescent="0.2">
      <c r="A17" s="4" t="s">
        <v>16</v>
      </c>
      <c r="F17" s="24"/>
      <c r="G17" s="24"/>
      <c r="H17" s="24"/>
      <c r="I17" s="24"/>
      <c r="J17" s="24"/>
      <c r="K17" s="24"/>
      <c r="L17" s="24"/>
      <c r="M17" s="24"/>
      <c r="N17" s="24"/>
      <c r="O17" s="24"/>
      <c r="P17" s="24"/>
      <c r="Q17" s="24"/>
    </row>
    <row r="18" spans="1:17" x14ac:dyDescent="0.2">
      <c r="A18" s="2" t="s">
        <v>17</v>
      </c>
      <c r="B18" s="5">
        <v>1200</v>
      </c>
      <c r="F18" s="24"/>
      <c r="G18" s="24"/>
      <c r="H18" s="24"/>
      <c r="I18" s="24"/>
      <c r="J18" s="24"/>
      <c r="K18" s="24"/>
      <c r="L18" s="24"/>
      <c r="M18" s="24"/>
      <c r="N18" s="24"/>
      <c r="O18" s="24"/>
      <c r="P18" s="24"/>
      <c r="Q18" s="24"/>
    </row>
    <row r="19" spans="1:17" x14ac:dyDescent="0.2">
      <c r="A19" s="2" t="s">
        <v>19</v>
      </c>
      <c r="B19" s="5">
        <v>10</v>
      </c>
      <c r="F19" s="24"/>
      <c r="G19" s="24"/>
      <c r="H19" s="24"/>
      <c r="I19" s="24"/>
      <c r="J19" s="24"/>
      <c r="K19" s="24"/>
      <c r="L19" s="24"/>
      <c r="M19" s="24"/>
      <c r="N19" s="24"/>
      <c r="O19" s="24"/>
      <c r="P19" s="24"/>
      <c r="Q19" s="24"/>
    </row>
    <row r="20" spans="1:17" x14ac:dyDescent="0.2">
      <c r="A20" s="2" t="s">
        <v>18</v>
      </c>
      <c r="B20" s="7">
        <f>2*PI()*B18*1000000*B19*0.000000001</f>
        <v>75.398223686155035</v>
      </c>
      <c r="F20" s="24"/>
      <c r="G20" s="24"/>
      <c r="H20" s="24"/>
      <c r="I20" s="24"/>
      <c r="J20" s="24"/>
      <c r="K20" s="24"/>
      <c r="L20" s="24"/>
      <c r="M20" s="24"/>
      <c r="N20" s="24"/>
      <c r="O20" s="24"/>
      <c r="P20" s="24"/>
      <c r="Q20" s="24"/>
    </row>
    <row r="21" spans="1:17" x14ac:dyDescent="0.2">
      <c r="F21" s="24"/>
      <c r="G21" s="24"/>
      <c r="H21" s="24"/>
      <c r="I21" s="24"/>
      <c r="J21" s="24"/>
      <c r="K21" s="24"/>
      <c r="L21" s="24"/>
      <c r="M21" s="24"/>
      <c r="N21" s="24"/>
      <c r="O21" s="24"/>
      <c r="P21" s="24"/>
      <c r="Q21" s="24"/>
    </row>
    <row r="22" spans="1:17" x14ac:dyDescent="0.2">
      <c r="A22" s="2" t="s">
        <v>17</v>
      </c>
      <c r="B22" s="5">
        <v>1200</v>
      </c>
      <c r="F22" s="22"/>
      <c r="G22" s="22"/>
      <c r="H22" s="22"/>
      <c r="I22" s="22"/>
      <c r="J22" s="22"/>
      <c r="K22" s="22"/>
      <c r="L22" s="22"/>
      <c r="M22" s="22"/>
      <c r="N22" s="22"/>
      <c r="O22" s="22"/>
      <c r="P22" s="22"/>
      <c r="Q22" s="22"/>
    </row>
    <row r="23" spans="1:17" x14ac:dyDescent="0.2">
      <c r="A23" s="2" t="s">
        <v>12</v>
      </c>
      <c r="B23" s="5">
        <v>1</v>
      </c>
      <c r="F23" s="22"/>
      <c r="G23" s="22"/>
      <c r="H23" s="22"/>
      <c r="I23" s="22"/>
      <c r="J23" s="22"/>
      <c r="K23" s="22"/>
      <c r="L23" s="22"/>
      <c r="M23" s="22"/>
      <c r="N23" s="22"/>
      <c r="O23" s="22"/>
      <c r="P23" s="22"/>
      <c r="Q23" s="22"/>
    </row>
    <row r="24" spans="1:17" x14ac:dyDescent="0.2">
      <c r="A24" s="2" t="s">
        <v>18</v>
      </c>
      <c r="B24" s="7">
        <f>1/(2*PI()*B22*1000000*B23*0.000000000001)</f>
        <v>132.62911924324612</v>
      </c>
      <c r="F24" s="22"/>
      <c r="G24" s="22"/>
      <c r="H24" s="22"/>
      <c r="I24" s="22"/>
      <c r="J24" s="22"/>
      <c r="K24" s="22"/>
      <c r="L24" s="22"/>
      <c r="M24" s="22"/>
      <c r="N24" s="22"/>
      <c r="O24" s="22"/>
      <c r="P24" s="22"/>
      <c r="Q24" s="22"/>
    </row>
    <row r="25" spans="1:17" x14ac:dyDescent="0.2">
      <c r="F25" s="22"/>
      <c r="G25" s="22"/>
      <c r="H25" s="22"/>
      <c r="I25" s="22"/>
      <c r="J25" s="22"/>
      <c r="K25" s="22"/>
      <c r="L25" s="22"/>
      <c r="M25" s="22"/>
      <c r="N25" s="22"/>
      <c r="O25" s="22"/>
      <c r="P25" s="22"/>
      <c r="Q25" s="22"/>
    </row>
    <row r="26" spans="1:17" x14ac:dyDescent="0.2">
      <c r="F26" s="22"/>
      <c r="G26" s="22"/>
      <c r="H26" s="22"/>
      <c r="I26" s="22"/>
      <c r="J26" s="22"/>
      <c r="K26" s="22"/>
      <c r="L26" s="22"/>
      <c r="M26" s="22"/>
      <c r="N26" s="22"/>
      <c r="O26" s="22"/>
      <c r="P26" s="22"/>
      <c r="Q26" s="22"/>
    </row>
    <row r="27" spans="1:17" x14ac:dyDescent="0.2">
      <c r="F27" s="22"/>
      <c r="G27" s="22"/>
      <c r="H27" s="22"/>
      <c r="I27" s="22"/>
      <c r="J27" s="22"/>
      <c r="K27" s="22"/>
      <c r="L27" s="22"/>
      <c r="M27" s="22"/>
      <c r="N27" s="22"/>
      <c r="O27" s="22"/>
      <c r="P27" s="22"/>
      <c r="Q27" s="22"/>
    </row>
    <row r="28" spans="1:17" x14ac:dyDescent="0.2">
      <c r="F28" s="22"/>
      <c r="G28" s="22"/>
      <c r="H28" s="22"/>
      <c r="I28" s="22"/>
      <c r="J28" s="22"/>
      <c r="K28" s="22"/>
      <c r="L28" s="22"/>
      <c r="M28" s="22"/>
      <c r="N28" s="22"/>
      <c r="O28" s="22"/>
      <c r="P28" s="22"/>
      <c r="Q28" s="22"/>
    </row>
    <row r="29" spans="1:17" x14ac:dyDescent="0.2">
      <c r="F29" s="22"/>
      <c r="G29" s="22"/>
      <c r="H29" s="22"/>
      <c r="I29" s="22"/>
      <c r="J29" s="22"/>
      <c r="K29" s="22"/>
      <c r="L29" s="22"/>
      <c r="M29" s="22"/>
      <c r="N29" s="22"/>
      <c r="O29" s="22"/>
      <c r="P29" s="22"/>
      <c r="Q29" s="22"/>
    </row>
    <row r="30" spans="1:17" x14ac:dyDescent="0.2">
      <c r="F30" s="22"/>
      <c r="G30" s="22"/>
      <c r="H30" s="22"/>
      <c r="I30" s="22"/>
      <c r="J30" s="22"/>
      <c r="K30" s="22"/>
      <c r="L30" s="22"/>
      <c r="M30" s="22"/>
      <c r="N30" s="22"/>
      <c r="O30" s="22"/>
      <c r="P30" s="22"/>
      <c r="Q30" s="22"/>
    </row>
    <row r="31" spans="1:17" x14ac:dyDescent="0.2">
      <c r="F31" s="22"/>
      <c r="G31" s="22"/>
      <c r="H31" s="22"/>
      <c r="I31" s="22"/>
      <c r="J31" s="22"/>
      <c r="K31" s="22"/>
      <c r="L31" s="22"/>
      <c r="M31" s="22"/>
      <c r="N31" s="22"/>
      <c r="O31" s="22"/>
      <c r="P31" s="22"/>
      <c r="Q31" s="22"/>
    </row>
    <row r="32" spans="1:17" x14ac:dyDescent="0.2">
      <c r="F32" s="22"/>
      <c r="G32" s="22"/>
      <c r="H32" s="22"/>
      <c r="I32" s="22"/>
      <c r="J32" s="22"/>
      <c r="K32" s="22"/>
      <c r="L32" s="22"/>
      <c r="M32" s="22"/>
      <c r="N32" s="22"/>
      <c r="O32" s="22"/>
      <c r="P32" s="22"/>
      <c r="Q32" s="22"/>
    </row>
    <row r="33" spans="6:17" x14ac:dyDescent="0.2">
      <c r="F33" s="22"/>
      <c r="G33" s="22"/>
      <c r="H33" s="22"/>
      <c r="I33" s="22"/>
      <c r="J33" s="22"/>
      <c r="K33" s="22"/>
      <c r="L33" s="22"/>
      <c r="M33" s="22"/>
      <c r="N33" s="22"/>
      <c r="O33" s="22"/>
      <c r="P33" s="22"/>
      <c r="Q33" s="22"/>
    </row>
    <row r="34" spans="6:17" x14ac:dyDescent="0.2">
      <c r="F34" s="22"/>
      <c r="G34" s="22"/>
      <c r="H34" s="22"/>
      <c r="I34" s="22"/>
      <c r="J34" s="22"/>
      <c r="K34" s="22"/>
      <c r="L34" s="22"/>
      <c r="M34" s="22"/>
      <c r="N34" s="22"/>
      <c r="O34" s="22"/>
      <c r="P34" s="22"/>
      <c r="Q34" s="22"/>
    </row>
    <row r="35" spans="6:17" x14ac:dyDescent="0.2">
      <c r="F35" s="22"/>
      <c r="G35" s="22"/>
      <c r="H35" s="22"/>
      <c r="I35" s="22"/>
      <c r="J35" s="22"/>
      <c r="K35" s="22"/>
      <c r="L35" s="22"/>
      <c r="M35" s="22"/>
      <c r="N35" s="22"/>
      <c r="O35" s="22"/>
      <c r="P35" s="22"/>
      <c r="Q35" s="22"/>
    </row>
    <row r="36" spans="6:17" x14ac:dyDescent="0.2">
      <c r="F36" s="22"/>
      <c r="G36" s="22"/>
      <c r="H36" s="22"/>
      <c r="I36" s="22"/>
      <c r="J36" s="22"/>
      <c r="K36" s="22"/>
      <c r="L36" s="22"/>
      <c r="M36" s="22"/>
      <c r="N36" s="22"/>
      <c r="O36" s="22"/>
      <c r="P36" s="22"/>
      <c r="Q36" s="22"/>
    </row>
    <row r="37" spans="6:17" x14ac:dyDescent="0.2">
      <c r="F37" s="22"/>
      <c r="G37" s="22"/>
      <c r="H37" s="22"/>
      <c r="I37" s="22"/>
      <c r="J37" s="22"/>
      <c r="K37" s="22"/>
      <c r="L37" s="22"/>
      <c r="M37" s="22"/>
      <c r="N37" s="22"/>
      <c r="O37" s="22"/>
      <c r="P37" s="22"/>
      <c r="Q37" s="22"/>
    </row>
    <row r="38" spans="6:17" x14ac:dyDescent="0.2">
      <c r="F38" s="22"/>
      <c r="G38" s="22"/>
      <c r="H38" s="22"/>
      <c r="I38" s="22"/>
      <c r="J38" s="22"/>
      <c r="K38" s="22"/>
      <c r="L38" s="22"/>
      <c r="M38" s="22"/>
      <c r="N38" s="22"/>
      <c r="O38" s="22"/>
      <c r="P38" s="22"/>
      <c r="Q38" s="22"/>
    </row>
    <row r="39" spans="6:17" x14ac:dyDescent="0.2">
      <c r="F39" s="22"/>
      <c r="G39" s="22"/>
      <c r="H39" s="22"/>
      <c r="I39" s="22"/>
      <c r="J39" s="22"/>
      <c r="K39" s="22"/>
      <c r="L39" s="22"/>
      <c r="M39" s="22"/>
      <c r="N39" s="22"/>
      <c r="O39" s="22"/>
      <c r="P39" s="22"/>
      <c r="Q39" s="22"/>
    </row>
    <row r="40" spans="6:17" x14ac:dyDescent="0.2">
      <c r="F40" s="22"/>
      <c r="G40" s="22"/>
      <c r="H40" s="22"/>
      <c r="I40" s="22"/>
      <c r="J40" s="22"/>
      <c r="K40" s="22"/>
      <c r="L40" s="22"/>
      <c r="M40" s="22"/>
      <c r="N40" s="22"/>
      <c r="O40" s="22"/>
      <c r="P40" s="22"/>
      <c r="Q40" s="22"/>
    </row>
    <row r="41" spans="6:17" x14ac:dyDescent="0.2">
      <c r="F41" s="22"/>
      <c r="G41" s="22"/>
      <c r="H41" s="22"/>
      <c r="I41" s="22"/>
      <c r="J41" s="22"/>
      <c r="K41" s="22"/>
      <c r="L41" s="22"/>
      <c r="M41" s="22"/>
      <c r="N41" s="22"/>
      <c r="O41" s="22"/>
      <c r="P41" s="22"/>
      <c r="Q41" s="22"/>
    </row>
    <row r="42" spans="6:17" x14ac:dyDescent="0.2">
      <c r="F42" s="22"/>
      <c r="G42" s="22"/>
      <c r="H42" s="22"/>
      <c r="I42" s="22"/>
      <c r="J42" s="22"/>
      <c r="K42" s="22"/>
      <c r="L42" s="22"/>
      <c r="M42" s="22"/>
      <c r="N42" s="22"/>
      <c r="O42" s="22"/>
      <c r="P42" s="22"/>
      <c r="Q42" s="22"/>
    </row>
    <row r="43" spans="6:17" x14ac:dyDescent="0.2">
      <c r="F43" s="22"/>
      <c r="G43" s="22"/>
      <c r="H43" s="22"/>
      <c r="I43" s="22"/>
      <c r="J43" s="22"/>
      <c r="K43" s="22"/>
      <c r="L43" s="22"/>
      <c r="M43" s="22"/>
      <c r="N43" s="22"/>
      <c r="O43" s="22"/>
      <c r="P43" s="22"/>
      <c r="Q43" s="22"/>
    </row>
    <row r="44" spans="6:17" x14ac:dyDescent="0.2">
      <c r="F44" s="22"/>
      <c r="G44" s="22"/>
      <c r="H44" s="22"/>
      <c r="I44" s="22"/>
      <c r="J44" s="22"/>
      <c r="K44" s="22"/>
      <c r="L44" s="22"/>
      <c r="M44" s="22"/>
      <c r="N44" s="22"/>
      <c r="O44" s="22"/>
      <c r="P44" s="22"/>
      <c r="Q44" s="22"/>
    </row>
    <row r="45" spans="6:17" x14ac:dyDescent="0.2">
      <c r="F45" s="22"/>
      <c r="G45" s="22"/>
      <c r="H45" s="22"/>
      <c r="I45" s="22"/>
      <c r="J45" s="22"/>
      <c r="K45" s="22"/>
      <c r="L45" s="22"/>
      <c r="M45" s="22"/>
      <c r="N45" s="22"/>
      <c r="O45" s="22"/>
      <c r="P45" s="22"/>
      <c r="Q45" s="22"/>
    </row>
    <row r="46" spans="6:17" x14ac:dyDescent="0.2">
      <c r="F46" s="22"/>
      <c r="G46" s="22"/>
      <c r="H46" s="22"/>
      <c r="I46" s="22"/>
      <c r="J46" s="22"/>
      <c r="K46" s="22"/>
      <c r="L46" s="22"/>
      <c r="M46" s="22"/>
      <c r="N46" s="22"/>
      <c r="O46" s="22"/>
      <c r="P46" s="22"/>
      <c r="Q46" s="22"/>
    </row>
    <row r="47" spans="6:17" x14ac:dyDescent="0.2">
      <c r="F47" s="22"/>
      <c r="G47" s="22"/>
      <c r="H47" s="22"/>
      <c r="I47" s="22"/>
      <c r="J47" s="22"/>
      <c r="K47" s="22"/>
      <c r="L47" s="22"/>
      <c r="M47" s="22"/>
      <c r="N47" s="22"/>
      <c r="O47" s="22"/>
      <c r="P47" s="22"/>
      <c r="Q47" s="22"/>
    </row>
    <row r="48" spans="6:17" x14ac:dyDescent="0.2">
      <c r="F48" s="22"/>
      <c r="G48" s="22"/>
      <c r="H48" s="22"/>
      <c r="I48" s="22"/>
      <c r="J48" s="22"/>
      <c r="K48" s="22"/>
      <c r="L48" s="22"/>
      <c r="M48" s="22"/>
      <c r="N48" s="22"/>
      <c r="O48" s="22"/>
      <c r="P48" s="22"/>
      <c r="Q48" s="22"/>
    </row>
    <row r="49" spans="6:17" x14ac:dyDescent="0.2">
      <c r="F49" s="22"/>
      <c r="G49" s="22"/>
      <c r="H49" s="22"/>
      <c r="I49" s="22"/>
      <c r="J49" s="22"/>
      <c r="K49" s="22"/>
      <c r="L49" s="22"/>
      <c r="M49" s="22"/>
      <c r="N49" s="22"/>
      <c r="O49" s="22"/>
      <c r="P49" s="22"/>
      <c r="Q49" s="22"/>
    </row>
  </sheetData>
  <sheetProtection algorithmName="SHA-512" hashValue="87enumqla3RKofnEqqjkhMW+1dQHrfKBMsmNmxrkAFBoyqoNaAHYji5c3mSB3wo7MH4RizK/WYaonaWJD8ea/g==" saltValue="E+Azi5Y8zmF5WlFVV4B0YQ==" spinCount="100000" sheet="1" selectLockedCells="1"/>
  <mergeCells count="5">
    <mergeCell ref="F22:Q49"/>
    <mergeCell ref="C1:D4"/>
    <mergeCell ref="C6:C11"/>
    <mergeCell ref="C13:E16"/>
    <mergeCell ref="F1:Q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DB9C3-7086-2D46-9483-5AC543E6C83B}">
  <dimension ref="A1:J17"/>
  <sheetViews>
    <sheetView zoomScale="158" workbookViewId="0">
      <selection activeCell="B2" sqref="B2"/>
    </sheetView>
  </sheetViews>
  <sheetFormatPr baseColWidth="10" defaultRowHeight="16" x14ac:dyDescent="0.2"/>
  <cols>
    <col min="1" max="1" width="53.1640625" style="2" customWidth="1"/>
    <col min="2" max="2" width="11.6640625" style="2" bestFit="1" customWidth="1"/>
    <col min="3" max="16384" width="10.83203125" style="2"/>
  </cols>
  <sheetData>
    <row r="1" spans="1:10" ht="16" customHeight="1" x14ac:dyDescent="0.2">
      <c r="A1" s="2" t="s">
        <v>20</v>
      </c>
      <c r="B1" s="2">
        <f>3*100000000</f>
        <v>300000000</v>
      </c>
      <c r="C1" s="23" t="s">
        <v>61</v>
      </c>
      <c r="D1" s="23"/>
      <c r="E1" s="23"/>
      <c r="F1" s="23"/>
      <c r="G1" s="23"/>
      <c r="H1" s="23"/>
      <c r="I1" s="23"/>
      <c r="J1" s="23"/>
    </row>
    <row r="2" spans="1:10" x14ac:dyDescent="0.2">
      <c r="A2" s="2" t="s">
        <v>21</v>
      </c>
      <c r="B2" s="5">
        <v>0.7</v>
      </c>
      <c r="C2" s="23"/>
      <c r="D2" s="23"/>
      <c r="E2" s="23"/>
      <c r="F2" s="23"/>
      <c r="G2" s="23"/>
      <c r="H2" s="23"/>
      <c r="I2" s="23"/>
      <c r="J2" s="23"/>
    </row>
    <row r="3" spans="1:10" x14ac:dyDescent="0.2">
      <c r="A3" s="2" t="s">
        <v>22</v>
      </c>
      <c r="B3" s="2">
        <f>B1*B2</f>
        <v>210000000</v>
      </c>
      <c r="C3" s="23"/>
      <c r="D3" s="23"/>
      <c r="E3" s="23"/>
      <c r="F3" s="23"/>
      <c r="G3" s="23"/>
      <c r="H3" s="23"/>
      <c r="I3" s="23"/>
      <c r="J3" s="23"/>
    </row>
    <row r="4" spans="1:10" x14ac:dyDescent="0.2">
      <c r="A4" s="2" t="s">
        <v>23</v>
      </c>
      <c r="B4" s="5">
        <v>100</v>
      </c>
      <c r="C4" s="23"/>
      <c r="D4" s="23"/>
      <c r="E4" s="23"/>
      <c r="F4" s="23"/>
      <c r="G4" s="23"/>
      <c r="H4" s="23"/>
      <c r="I4" s="23"/>
      <c r="J4" s="23"/>
    </row>
    <row r="5" spans="1:10" x14ac:dyDescent="0.2">
      <c r="A5" s="2" t="s">
        <v>24</v>
      </c>
      <c r="B5" s="7">
        <f>B3/(B4*1000000)</f>
        <v>2.1</v>
      </c>
    </row>
    <row r="6" spans="1:10" x14ac:dyDescent="0.2">
      <c r="A6" s="2" t="s">
        <v>25</v>
      </c>
      <c r="B6" s="7">
        <f>B5/2</f>
        <v>1.05</v>
      </c>
    </row>
    <row r="7" spans="1:10" x14ac:dyDescent="0.2">
      <c r="A7" s="2" t="s">
        <v>26</v>
      </c>
      <c r="B7" s="7">
        <f>B5/4</f>
        <v>0.52500000000000002</v>
      </c>
    </row>
    <row r="9" spans="1:10" x14ac:dyDescent="0.2">
      <c r="A9" s="2" t="s">
        <v>20</v>
      </c>
      <c r="B9" s="2">
        <f>3*100000000</f>
        <v>300000000</v>
      </c>
    </row>
    <row r="10" spans="1:10" x14ac:dyDescent="0.2">
      <c r="A10" s="2" t="s">
        <v>21</v>
      </c>
      <c r="B10" s="5">
        <v>0.7</v>
      </c>
    </row>
    <row r="11" spans="1:10" x14ac:dyDescent="0.2">
      <c r="A11" s="2" t="s">
        <v>22</v>
      </c>
      <c r="B11" s="2">
        <f>B9*B10</f>
        <v>210000000</v>
      </c>
    </row>
    <row r="12" spans="1:10" x14ac:dyDescent="0.2">
      <c r="A12" s="2" t="s">
        <v>27</v>
      </c>
      <c r="B12" s="5">
        <v>0.875</v>
      </c>
    </row>
    <row r="13" spans="1:10" x14ac:dyDescent="0.2">
      <c r="A13" s="2" t="s">
        <v>28</v>
      </c>
      <c r="B13" s="7">
        <f>B11/(B12*2)/1000000</f>
        <v>120</v>
      </c>
    </row>
    <row r="14" spans="1:10" x14ac:dyDescent="0.2">
      <c r="A14" s="2" t="s">
        <v>29</v>
      </c>
      <c r="B14" s="7">
        <f>B11/(B12*4)/1000000</f>
        <v>60</v>
      </c>
    </row>
    <row r="15" spans="1:10" x14ac:dyDescent="0.2">
      <c r="B15" s="6"/>
    </row>
    <row r="16" spans="1:10" x14ac:dyDescent="0.2">
      <c r="A16" s="4" t="s">
        <v>73</v>
      </c>
      <c r="C16" s="25" t="s">
        <v>75</v>
      </c>
      <c r="D16" s="25"/>
      <c r="E16" s="25"/>
      <c r="F16" s="25"/>
      <c r="G16" s="25"/>
      <c r="H16" s="25"/>
      <c r="I16" s="25"/>
    </row>
    <row r="17" spans="1:9" x14ac:dyDescent="0.2">
      <c r="A17" s="2" t="s">
        <v>74</v>
      </c>
      <c r="B17" s="6">
        <f>B5/10</f>
        <v>0.21000000000000002</v>
      </c>
      <c r="C17" s="25"/>
      <c r="D17" s="25"/>
      <c r="E17" s="25"/>
      <c r="F17" s="25"/>
      <c r="G17" s="25"/>
      <c r="H17" s="25"/>
      <c r="I17" s="25"/>
    </row>
  </sheetData>
  <sheetProtection algorithmName="SHA-512" hashValue="kbmkVeTbsNWBuZD/+b1ylclER4YlGXyyhjUJ4FXV66BXEzQQOfjXag4I3iNmC0TiRWgolxakIKzEiaxL586h4A==" saltValue="Qu3SFl2gcbILtCH20PWFhQ==" spinCount="100000" sheet="1" objects="1" scenarios="1" selectLockedCells="1"/>
  <mergeCells count="2">
    <mergeCell ref="C1:J4"/>
    <mergeCell ref="C16:I1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9350D-A31F-D546-AD2A-81AF6088094B}">
  <dimension ref="A1:F32"/>
  <sheetViews>
    <sheetView topLeftCell="A6" zoomScale="164" workbookViewId="0">
      <selection activeCell="B31" sqref="B31"/>
    </sheetView>
  </sheetViews>
  <sheetFormatPr baseColWidth="10" defaultRowHeight="16" x14ac:dyDescent="0.2"/>
  <cols>
    <col min="1" max="1" width="31.33203125" style="2" customWidth="1"/>
    <col min="2" max="2" width="27.83203125" style="2" customWidth="1"/>
    <col min="3" max="4" width="10.83203125" style="2"/>
    <col min="5" max="5" width="14.1640625" style="2" customWidth="1"/>
    <col min="6" max="16384" width="10.83203125" style="2"/>
  </cols>
  <sheetData>
    <row r="1" spans="1:6" x14ac:dyDescent="0.2">
      <c r="A1" s="2" t="s">
        <v>33</v>
      </c>
      <c r="B1" s="5">
        <v>20</v>
      </c>
      <c r="C1" s="25" t="s">
        <v>46</v>
      </c>
      <c r="D1" s="25"/>
      <c r="E1" s="25"/>
      <c r="F1" s="25"/>
    </row>
    <row r="2" spans="1:6" x14ac:dyDescent="0.2">
      <c r="A2" s="2" t="s">
        <v>34</v>
      </c>
      <c r="B2" s="6">
        <f>10^(B1/20)</f>
        <v>10</v>
      </c>
    </row>
    <row r="4" spans="1:6" x14ac:dyDescent="0.2">
      <c r="A4" s="2" t="s">
        <v>34</v>
      </c>
      <c r="B4" s="5">
        <v>100</v>
      </c>
    </row>
    <row r="5" spans="1:6" x14ac:dyDescent="0.2">
      <c r="A5" s="2" t="s">
        <v>33</v>
      </c>
      <c r="B5" s="6">
        <f>20*LOG10(B4)</f>
        <v>40</v>
      </c>
    </row>
    <row r="7" spans="1:6" x14ac:dyDescent="0.2">
      <c r="A7" s="4" t="s">
        <v>41</v>
      </c>
      <c r="C7" s="23" t="s">
        <v>45</v>
      </c>
      <c r="D7" s="23"/>
      <c r="E7" s="23"/>
      <c r="F7" s="23"/>
    </row>
    <row r="8" spans="1:6" x14ac:dyDescent="0.2">
      <c r="A8" s="11" t="s">
        <v>35</v>
      </c>
      <c r="B8" s="5">
        <v>134</v>
      </c>
      <c r="C8" s="23"/>
      <c r="D8" s="23"/>
      <c r="E8" s="23"/>
      <c r="F8" s="23"/>
    </row>
    <row r="9" spans="1:6" x14ac:dyDescent="0.2">
      <c r="A9" s="11" t="s">
        <v>58</v>
      </c>
      <c r="B9" s="6">
        <v>50</v>
      </c>
      <c r="C9" s="23"/>
      <c r="D9" s="23"/>
      <c r="E9" s="23"/>
      <c r="F9" s="23"/>
    </row>
    <row r="10" spans="1:6" x14ac:dyDescent="0.2">
      <c r="A10" s="11" t="s">
        <v>36</v>
      </c>
      <c r="B10" s="6">
        <f>10^(B8/20)</f>
        <v>5011872.3362727314</v>
      </c>
      <c r="C10" s="23"/>
      <c r="D10" s="23"/>
      <c r="E10" s="23"/>
      <c r="F10" s="23"/>
    </row>
    <row r="11" spans="1:6" x14ac:dyDescent="0.2">
      <c r="A11" s="11" t="s">
        <v>37</v>
      </c>
      <c r="B11" s="6">
        <f>B10/B9*1000</f>
        <v>100237446.72545463</v>
      </c>
      <c r="C11" s="23"/>
      <c r="D11" s="23"/>
      <c r="E11" s="23"/>
      <c r="F11" s="23"/>
    </row>
    <row r="12" spans="1:6" x14ac:dyDescent="0.2">
      <c r="A12" s="11" t="s">
        <v>38</v>
      </c>
      <c r="B12" s="6">
        <f>B10*0.000001*B11*0.000000001</f>
        <v>0.50237728630191769</v>
      </c>
      <c r="C12" s="23"/>
      <c r="D12" s="23"/>
      <c r="E12" s="23"/>
      <c r="F12" s="23"/>
    </row>
    <row r="13" spans="1:6" x14ac:dyDescent="0.2">
      <c r="A13" s="11" t="s">
        <v>39</v>
      </c>
      <c r="B13" s="6">
        <f>B12*1000</f>
        <v>502.37728630191771</v>
      </c>
    </row>
    <row r="14" spans="1:6" x14ac:dyDescent="0.2">
      <c r="A14" s="11" t="s">
        <v>59</v>
      </c>
      <c r="B14" s="10">
        <f>10*LOG10(B13)</f>
        <v>27.010299956639827</v>
      </c>
    </row>
    <row r="15" spans="1:6" ht="21" x14ac:dyDescent="0.3">
      <c r="A15" s="12" t="s">
        <v>40</v>
      </c>
      <c r="B15" s="6">
        <f>B8-B14</f>
        <v>106.98970004336017</v>
      </c>
    </row>
    <row r="17" spans="1:6" x14ac:dyDescent="0.2">
      <c r="A17" s="4" t="s">
        <v>47</v>
      </c>
      <c r="C17" s="23" t="s">
        <v>49</v>
      </c>
      <c r="D17" s="23"/>
      <c r="E17" s="23"/>
      <c r="F17" s="23"/>
    </row>
    <row r="18" spans="1:6" x14ac:dyDescent="0.2">
      <c r="A18" s="2" t="s">
        <v>48</v>
      </c>
      <c r="B18" s="5">
        <v>37</v>
      </c>
      <c r="C18" s="23"/>
      <c r="D18" s="23"/>
      <c r="E18" s="23"/>
      <c r="F18" s="23"/>
    </row>
    <row r="19" spans="1:6" x14ac:dyDescent="0.2">
      <c r="A19" s="2" t="s">
        <v>38</v>
      </c>
      <c r="B19" s="10">
        <f>10^(B18/10)/1000</f>
        <v>5.0118723362727327</v>
      </c>
      <c r="C19" s="23"/>
      <c r="D19" s="23"/>
      <c r="E19" s="23"/>
      <c r="F19" s="23"/>
    </row>
    <row r="21" spans="1:6" x14ac:dyDescent="0.2">
      <c r="A21" s="4" t="s">
        <v>50</v>
      </c>
    </row>
    <row r="22" spans="1:6" x14ac:dyDescent="0.2">
      <c r="A22" s="11" t="s">
        <v>51</v>
      </c>
      <c r="B22" s="5">
        <v>1</v>
      </c>
      <c r="C22" s="23" t="s">
        <v>60</v>
      </c>
      <c r="D22" s="23"/>
      <c r="E22" s="23"/>
      <c r="F22" s="23"/>
    </row>
    <row r="23" spans="1:6" x14ac:dyDescent="0.2">
      <c r="A23" s="11" t="s">
        <v>52</v>
      </c>
      <c r="B23" s="6">
        <f>B22/2</f>
        <v>0.5</v>
      </c>
      <c r="C23" s="23"/>
      <c r="D23" s="23"/>
      <c r="E23" s="23"/>
      <c r="F23" s="23"/>
    </row>
    <row r="24" spans="1:6" x14ac:dyDescent="0.2">
      <c r="A24" s="11" t="s">
        <v>53</v>
      </c>
      <c r="B24" s="6">
        <f>B23/SQRT(2)</f>
        <v>0.35355339059327373</v>
      </c>
      <c r="C24" s="23"/>
      <c r="D24" s="23"/>
      <c r="E24" s="23"/>
      <c r="F24" s="23"/>
    </row>
    <row r="25" spans="1:6" x14ac:dyDescent="0.2">
      <c r="A25" s="11" t="s">
        <v>54</v>
      </c>
      <c r="B25" s="6">
        <f>B24^2/50</f>
        <v>2.4999999999999996E-3</v>
      </c>
    </row>
    <row r="26" spans="1:6" x14ac:dyDescent="0.2">
      <c r="A26" s="11" t="s">
        <v>55</v>
      </c>
      <c r="B26" s="6">
        <f>B25*1000</f>
        <v>2.4999999999999996</v>
      </c>
    </row>
    <row r="27" spans="1:6" x14ac:dyDescent="0.2">
      <c r="A27" s="11" t="s">
        <v>56</v>
      </c>
      <c r="B27" s="10">
        <f>10*LOG(B26)</f>
        <v>3.9794000867203754</v>
      </c>
    </row>
    <row r="28" spans="1:6" x14ac:dyDescent="0.2">
      <c r="A28" s="11" t="s">
        <v>57</v>
      </c>
      <c r="B28" s="10">
        <f>20*LOG(B24*1000000)</f>
        <v>110.96910013008056</v>
      </c>
    </row>
    <row r="30" spans="1:6" x14ac:dyDescent="0.2">
      <c r="A30" s="4" t="s">
        <v>62</v>
      </c>
    </row>
    <row r="31" spans="1:6" x14ac:dyDescent="0.2">
      <c r="A31" s="2" t="s">
        <v>63</v>
      </c>
      <c r="B31" s="5">
        <v>50</v>
      </c>
      <c r="D31" s="2" t="s">
        <v>64</v>
      </c>
      <c r="E31" s="5">
        <v>34</v>
      </c>
    </row>
    <row r="32" spans="1:6" x14ac:dyDescent="0.2">
      <c r="A32" s="2" t="s">
        <v>64</v>
      </c>
      <c r="B32" s="10">
        <f>20*LOG(B31)</f>
        <v>33.979400086720375</v>
      </c>
      <c r="D32" s="2" t="s">
        <v>63</v>
      </c>
      <c r="E32" s="7">
        <f>10^(E31/20)</f>
        <v>50.118723362727238</v>
      </c>
    </row>
  </sheetData>
  <sheetProtection algorithmName="SHA-512" hashValue="FZgK7bLz0hgGe+KMnUJfAUtPRyStI0xvq37G/oVnD3HHdIWwBlvy/PaFLo9mIbmU2txs6MVz/PdrsE4i+9VEHw==" saltValue="89MHPZEZHhzswSxWKepiKw==" spinCount="100000" sheet="1" objects="1" scenarios="1" selectLockedCells="1"/>
  <mergeCells count="4">
    <mergeCell ref="C7:F12"/>
    <mergeCell ref="C1:F1"/>
    <mergeCell ref="C17:F19"/>
    <mergeCell ref="C22:F2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D360E-25A8-1A4A-9C17-DF2490553F5A}">
  <dimension ref="A1:K27"/>
  <sheetViews>
    <sheetView zoomScale="150" workbookViewId="0">
      <selection activeCell="B1" sqref="B1"/>
    </sheetView>
  </sheetViews>
  <sheetFormatPr baseColWidth="10" defaultRowHeight="16" x14ac:dyDescent="0.2"/>
  <cols>
    <col min="1" max="1" width="38.6640625" style="2" customWidth="1"/>
    <col min="2" max="16384" width="10.83203125" style="2"/>
  </cols>
  <sheetData>
    <row r="1" spans="1:11" x14ac:dyDescent="0.2">
      <c r="A1" s="11" t="s">
        <v>76</v>
      </c>
      <c r="B1" s="5">
        <v>0.35</v>
      </c>
      <c r="C1" s="23" t="s">
        <v>83</v>
      </c>
      <c r="D1" s="23"/>
      <c r="E1" s="23"/>
      <c r="F1" s="23"/>
      <c r="G1" s="23"/>
      <c r="H1" s="23"/>
      <c r="I1" s="23"/>
      <c r="J1" s="23"/>
      <c r="K1" s="23"/>
    </row>
    <row r="2" spans="1:11" x14ac:dyDescent="0.2">
      <c r="A2" s="11" t="s">
        <v>77</v>
      </c>
      <c r="B2" s="6">
        <f>1/B1*1000</f>
        <v>2857.1428571428573</v>
      </c>
      <c r="C2" s="23"/>
      <c r="D2" s="23"/>
      <c r="E2" s="23"/>
      <c r="F2" s="23"/>
      <c r="G2" s="23"/>
      <c r="H2" s="23"/>
      <c r="I2" s="23"/>
      <c r="J2" s="23"/>
      <c r="K2" s="23"/>
    </row>
    <row r="3" spans="1:11" x14ac:dyDescent="0.2">
      <c r="A3" s="11" t="s">
        <v>78</v>
      </c>
      <c r="B3" s="5">
        <v>30</v>
      </c>
      <c r="C3" s="23"/>
      <c r="D3" s="23"/>
      <c r="E3" s="23"/>
      <c r="F3" s="23"/>
      <c r="G3" s="23"/>
      <c r="H3" s="23"/>
      <c r="I3" s="23"/>
      <c r="J3" s="23"/>
      <c r="K3" s="23"/>
    </row>
    <row r="4" spans="1:11" x14ac:dyDescent="0.2">
      <c r="A4" s="11" t="s">
        <v>79</v>
      </c>
      <c r="B4" s="6">
        <f>B3/100*B2</f>
        <v>857.14285714285722</v>
      </c>
      <c r="C4" s="23"/>
      <c r="D4" s="23"/>
      <c r="E4" s="23"/>
      <c r="F4" s="23"/>
      <c r="G4" s="23"/>
      <c r="H4" s="23"/>
      <c r="I4" s="23"/>
      <c r="J4" s="23"/>
      <c r="K4" s="23"/>
    </row>
    <row r="5" spans="1:11" x14ac:dyDescent="0.2">
      <c r="A5" s="11" t="s">
        <v>80</v>
      </c>
      <c r="B5" s="7">
        <f>1/(PI()*B4)*1000000</f>
        <v>371.36153388108909</v>
      </c>
      <c r="C5" s="23"/>
      <c r="D5" s="23"/>
      <c r="E5" s="23"/>
      <c r="F5" s="23"/>
      <c r="G5" s="23"/>
      <c r="H5" s="23"/>
      <c r="I5" s="23"/>
      <c r="J5" s="23"/>
      <c r="K5" s="23"/>
    </row>
    <row r="6" spans="1:11" x14ac:dyDescent="0.2">
      <c r="B6" s="6"/>
      <c r="C6" s="23"/>
      <c r="D6" s="23"/>
      <c r="E6" s="23"/>
      <c r="F6" s="23"/>
      <c r="G6" s="23"/>
      <c r="H6" s="23"/>
      <c r="I6" s="23"/>
      <c r="J6" s="23"/>
      <c r="K6" s="23"/>
    </row>
    <row r="7" spans="1:11" ht="18" x14ac:dyDescent="0.25">
      <c r="A7" s="19" t="s">
        <v>81</v>
      </c>
      <c r="B7" s="5">
        <v>10</v>
      </c>
      <c r="C7" s="23"/>
      <c r="D7" s="23"/>
      <c r="E7" s="23"/>
      <c r="F7" s="23"/>
      <c r="G7" s="23"/>
      <c r="H7" s="23"/>
      <c r="I7" s="23"/>
      <c r="J7" s="23"/>
      <c r="K7" s="23"/>
    </row>
    <row r="8" spans="1:11" ht="18" x14ac:dyDescent="0.25">
      <c r="A8" s="19" t="s">
        <v>82</v>
      </c>
      <c r="B8" s="7">
        <f>1/(PI()*B7)*1000</f>
        <v>31.830988618379067</v>
      </c>
      <c r="C8" s="23"/>
      <c r="D8" s="23"/>
      <c r="E8" s="23"/>
      <c r="F8" s="23"/>
      <c r="G8" s="23"/>
      <c r="H8" s="23"/>
      <c r="I8" s="23"/>
      <c r="J8" s="23"/>
      <c r="K8" s="23"/>
    </row>
    <row r="9" spans="1:11" x14ac:dyDescent="0.2">
      <c r="C9" s="22"/>
      <c r="D9" s="22"/>
      <c r="E9" s="22"/>
      <c r="F9" s="22"/>
      <c r="G9" s="22"/>
      <c r="H9" s="22"/>
      <c r="I9" s="22"/>
      <c r="J9" s="22"/>
      <c r="K9" s="22"/>
    </row>
    <row r="10" spans="1:11" x14ac:dyDescent="0.2">
      <c r="C10" s="22"/>
      <c r="D10" s="22"/>
      <c r="E10" s="22"/>
      <c r="F10" s="22"/>
      <c r="G10" s="22"/>
      <c r="H10" s="22"/>
      <c r="I10" s="22"/>
      <c r="J10" s="22"/>
      <c r="K10" s="22"/>
    </row>
    <row r="11" spans="1:11" x14ac:dyDescent="0.2">
      <c r="C11" s="22"/>
      <c r="D11" s="22"/>
      <c r="E11" s="22"/>
      <c r="F11" s="22"/>
      <c r="G11" s="22"/>
      <c r="H11" s="22"/>
      <c r="I11" s="22"/>
      <c r="J11" s="22"/>
      <c r="K11" s="22"/>
    </row>
    <row r="12" spans="1:11" x14ac:dyDescent="0.2">
      <c r="C12" s="22"/>
      <c r="D12" s="22"/>
      <c r="E12" s="22"/>
      <c r="F12" s="22"/>
      <c r="G12" s="22"/>
      <c r="H12" s="22"/>
      <c r="I12" s="22"/>
      <c r="J12" s="22"/>
      <c r="K12" s="22"/>
    </row>
    <row r="13" spans="1:11" x14ac:dyDescent="0.2">
      <c r="C13" s="22"/>
      <c r="D13" s="22"/>
      <c r="E13" s="22"/>
      <c r="F13" s="22"/>
      <c r="G13" s="22"/>
      <c r="H13" s="22"/>
      <c r="I13" s="22"/>
      <c r="J13" s="22"/>
      <c r="K13" s="22"/>
    </row>
    <row r="14" spans="1:11" x14ac:dyDescent="0.2">
      <c r="C14" s="22"/>
      <c r="D14" s="22"/>
      <c r="E14" s="22"/>
      <c r="F14" s="22"/>
      <c r="G14" s="22"/>
      <c r="H14" s="22"/>
      <c r="I14" s="22"/>
      <c r="J14" s="22"/>
      <c r="K14" s="22"/>
    </row>
    <row r="15" spans="1:11" x14ac:dyDescent="0.2">
      <c r="C15" s="22"/>
      <c r="D15" s="22"/>
      <c r="E15" s="22"/>
      <c r="F15" s="22"/>
      <c r="G15" s="22"/>
      <c r="H15" s="22"/>
      <c r="I15" s="22"/>
      <c r="J15" s="22"/>
      <c r="K15" s="22"/>
    </row>
    <row r="16" spans="1:11" x14ac:dyDescent="0.2">
      <c r="C16" s="22"/>
      <c r="D16" s="22"/>
      <c r="E16" s="22"/>
      <c r="F16" s="22"/>
      <c r="G16" s="22"/>
      <c r="H16" s="22"/>
      <c r="I16" s="22"/>
      <c r="J16" s="22"/>
      <c r="K16" s="22"/>
    </row>
    <row r="17" spans="3:11" x14ac:dyDescent="0.2">
      <c r="C17" s="22"/>
      <c r="D17" s="22"/>
      <c r="E17" s="22"/>
      <c r="F17" s="22"/>
      <c r="G17" s="22"/>
      <c r="H17" s="22"/>
      <c r="I17" s="22"/>
      <c r="J17" s="22"/>
      <c r="K17" s="22"/>
    </row>
    <row r="18" spans="3:11" x14ac:dyDescent="0.2">
      <c r="C18" s="22"/>
      <c r="D18" s="22"/>
      <c r="E18" s="22"/>
      <c r="F18" s="22"/>
      <c r="G18" s="22"/>
      <c r="H18" s="22"/>
      <c r="I18" s="22"/>
      <c r="J18" s="22"/>
      <c r="K18" s="22"/>
    </row>
    <row r="19" spans="3:11" x14ac:dyDescent="0.2">
      <c r="C19" s="22"/>
      <c r="D19" s="22"/>
      <c r="E19" s="22"/>
      <c r="F19" s="22"/>
      <c r="G19" s="22"/>
      <c r="H19" s="22"/>
      <c r="I19" s="22"/>
      <c r="J19" s="22"/>
      <c r="K19" s="22"/>
    </row>
    <row r="20" spans="3:11" x14ac:dyDescent="0.2">
      <c r="C20" s="22"/>
      <c r="D20" s="22"/>
      <c r="E20" s="22"/>
      <c r="F20" s="22"/>
      <c r="G20" s="22"/>
      <c r="H20" s="22"/>
      <c r="I20" s="22"/>
      <c r="J20" s="22"/>
      <c r="K20" s="22"/>
    </row>
    <row r="21" spans="3:11" x14ac:dyDescent="0.2">
      <c r="C21" s="22"/>
      <c r="D21" s="22"/>
      <c r="E21" s="22"/>
      <c r="F21" s="22"/>
      <c r="G21" s="22"/>
      <c r="H21" s="22"/>
      <c r="I21" s="22"/>
      <c r="J21" s="22"/>
      <c r="K21" s="22"/>
    </row>
    <row r="22" spans="3:11" x14ac:dyDescent="0.2">
      <c r="C22" s="22"/>
      <c r="D22" s="22"/>
      <c r="E22" s="22"/>
      <c r="F22" s="22"/>
      <c r="G22" s="22"/>
      <c r="H22" s="22"/>
      <c r="I22" s="22"/>
      <c r="J22" s="22"/>
      <c r="K22" s="22"/>
    </row>
    <row r="23" spans="3:11" x14ac:dyDescent="0.2">
      <c r="C23" s="22"/>
      <c r="D23" s="22"/>
      <c r="E23" s="22"/>
      <c r="F23" s="22"/>
      <c r="G23" s="22"/>
      <c r="H23" s="22"/>
      <c r="I23" s="22"/>
      <c r="J23" s="22"/>
      <c r="K23" s="22"/>
    </row>
    <row r="24" spans="3:11" x14ac:dyDescent="0.2">
      <c r="C24" s="22"/>
      <c r="D24" s="22"/>
      <c r="E24" s="22"/>
      <c r="F24" s="22"/>
      <c r="G24" s="22"/>
      <c r="H24" s="22"/>
      <c r="I24" s="22"/>
      <c r="J24" s="22"/>
      <c r="K24" s="22"/>
    </row>
    <row r="25" spans="3:11" x14ac:dyDescent="0.2">
      <c r="C25" s="22"/>
      <c r="D25" s="22"/>
      <c r="E25" s="22"/>
      <c r="F25" s="22"/>
      <c r="G25" s="22"/>
      <c r="H25" s="22"/>
      <c r="I25" s="22"/>
      <c r="J25" s="22"/>
      <c r="K25" s="22"/>
    </row>
    <row r="26" spans="3:11" x14ac:dyDescent="0.2">
      <c r="C26" s="22"/>
      <c r="D26" s="22"/>
      <c r="E26" s="22"/>
      <c r="F26" s="22"/>
      <c r="G26" s="22"/>
      <c r="H26" s="22"/>
      <c r="I26" s="22"/>
      <c r="J26" s="22"/>
      <c r="K26" s="22"/>
    </row>
    <row r="27" spans="3:11" x14ac:dyDescent="0.2">
      <c r="C27" s="22"/>
      <c r="D27" s="22"/>
      <c r="E27" s="22"/>
      <c r="F27" s="22"/>
      <c r="G27" s="22"/>
      <c r="H27" s="22"/>
      <c r="I27" s="22"/>
      <c r="J27" s="22"/>
      <c r="K27" s="22"/>
    </row>
  </sheetData>
  <sheetProtection algorithmName="SHA-512" hashValue="o1mPzjYJrv0sJtOq9t0rquABiHLofLcVmZEQY3ernROyXacFwlzqpe2ekc9Lv58jvD/+M3SBrUA8Wxx3cnDH9g==" saltValue="O2PjmF/X4IjmpXQlO054Zw==" spinCount="100000" sheet="1" objects="1" scenarios="1" selectLockedCells="1"/>
  <mergeCells count="2">
    <mergeCell ref="C1:K8"/>
    <mergeCell ref="C9:K2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7E803-B945-1141-88FC-B2A878705096}">
  <dimension ref="A1"/>
  <sheetViews>
    <sheetView zoomScale="269" workbookViewId="0">
      <selection activeCell="A4" sqref="A4"/>
    </sheetView>
  </sheetViews>
  <sheetFormatPr baseColWidth="10" defaultRowHeight="16" x14ac:dyDescent="0.2"/>
  <cols>
    <col min="1" max="1" width="36.5" style="2" customWidth="1"/>
    <col min="2" max="16384" width="10.83203125" style="2"/>
  </cols>
  <sheetData>
    <row r="1" spans="1:1" x14ac:dyDescent="0.2">
      <c r="A1" s="2" t="s">
        <v>84</v>
      </c>
    </row>
  </sheetData>
  <sheetProtection sheet="1" objects="1" scenarios="1" select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555A-BE64-C147-800F-F721509C0C54}">
  <dimension ref="A1:S25"/>
  <sheetViews>
    <sheetView zoomScale="200" workbookViewId="0">
      <selection activeCell="B7" sqref="B7:B9"/>
    </sheetView>
  </sheetViews>
  <sheetFormatPr baseColWidth="10" defaultRowHeight="16" x14ac:dyDescent="0.2"/>
  <cols>
    <col min="1" max="1" width="10.83203125" style="2"/>
    <col min="2" max="2" width="71.6640625" style="2" customWidth="1"/>
    <col min="3" max="7" width="10.83203125" style="2"/>
    <col min="8" max="8" width="7.33203125" style="2" customWidth="1"/>
    <col min="9" max="13" width="0" style="2" hidden="1" customWidth="1"/>
    <col min="14" max="14" width="3.33203125" style="2" hidden="1" customWidth="1"/>
    <col min="15" max="15" width="10.83203125" style="2" hidden="1" customWidth="1"/>
    <col min="16" max="19" width="0.1640625" style="2" hidden="1" customWidth="1"/>
    <col min="20" max="20" width="31.83203125" style="2" customWidth="1"/>
    <col min="21" max="16384" width="10.83203125" style="2"/>
  </cols>
  <sheetData>
    <row r="1" spans="1:2" ht="16" customHeight="1" x14ac:dyDescent="0.2">
      <c r="A1" s="29">
        <v>1</v>
      </c>
      <c r="B1" s="32" t="s">
        <v>71</v>
      </c>
    </row>
    <row r="2" spans="1:2" x14ac:dyDescent="0.2">
      <c r="A2" s="30"/>
      <c r="B2" s="26"/>
    </row>
    <row r="3" spans="1:2" x14ac:dyDescent="0.2">
      <c r="A3" s="30"/>
      <c r="B3" s="26"/>
    </row>
    <row r="4" spans="1:2" x14ac:dyDescent="0.2">
      <c r="A4" s="13"/>
      <c r="B4" s="14"/>
    </row>
    <row r="5" spans="1:2" ht="34" x14ac:dyDescent="0.2">
      <c r="A5" s="15">
        <v>2</v>
      </c>
      <c r="B5" s="14" t="s">
        <v>72</v>
      </c>
    </row>
    <row r="6" spans="1:2" x14ac:dyDescent="0.2">
      <c r="A6" s="13"/>
      <c r="B6" s="16"/>
    </row>
    <row r="7" spans="1:2" x14ac:dyDescent="0.2">
      <c r="A7" s="30">
        <v>3</v>
      </c>
      <c r="B7" s="26" t="s">
        <v>65</v>
      </c>
    </row>
    <row r="8" spans="1:2" x14ac:dyDescent="0.2">
      <c r="A8" s="30"/>
      <c r="B8" s="26"/>
    </row>
    <row r="9" spans="1:2" x14ac:dyDescent="0.2">
      <c r="A9" s="30"/>
      <c r="B9" s="26"/>
    </row>
    <row r="10" spans="1:2" x14ac:dyDescent="0.2">
      <c r="A10" s="13"/>
      <c r="B10" s="16"/>
    </row>
    <row r="11" spans="1:2" x14ac:dyDescent="0.2">
      <c r="A11" s="30">
        <v>4</v>
      </c>
      <c r="B11" s="26" t="s">
        <v>66</v>
      </c>
    </row>
    <row r="12" spans="1:2" x14ac:dyDescent="0.2">
      <c r="A12" s="30"/>
      <c r="B12" s="26"/>
    </row>
    <row r="13" spans="1:2" x14ac:dyDescent="0.2">
      <c r="A13" s="30"/>
      <c r="B13" s="26"/>
    </row>
    <row r="14" spans="1:2" x14ac:dyDescent="0.2">
      <c r="A14" s="13"/>
      <c r="B14" s="16"/>
    </row>
    <row r="15" spans="1:2" x14ac:dyDescent="0.2">
      <c r="A15" s="30">
        <v>5</v>
      </c>
      <c r="B15" s="26" t="s">
        <v>67</v>
      </c>
    </row>
    <row r="16" spans="1:2" x14ac:dyDescent="0.2">
      <c r="A16" s="30"/>
      <c r="B16" s="26"/>
    </row>
    <row r="17" spans="1:2" x14ac:dyDescent="0.2">
      <c r="A17" s="13"/>
      <c r="B17" s="16"/>
    </row>
    <row r="18" spans="1:2" x14ac:dyDescent="0.2">
      <c r="A18" s="30">
        <v>6</v>
      </c>
      <c r="B18" s="26" t="s">
        <v>68</v>
      </c>
    </row>
    <row r="19" spans="1:2" x14ac:dyDescent="0.2">
      <c r="A19" s="30"/>
      <c r="B19" s="26"/>
    </row>
    <row r="20" spans="1:2" x14ac:dyDescent="0.2">
      <c r="A20" s="13"/>
      <c r="B20" s="17"/>
    </row>
    <row r="21" spans="1:2" x14ac:dyDescent="0.2">
      <c r="A21" s="18">
        <v>7</v>
      </c>
      <c r="B21" s="16" t="s">
        <v>69</v>
      </c>
    </row>
    <row r="22" spans="1:2" x14ac:dyDescent="0.2">
      <c r="A22" s="13"/>
      <c r="B22" s="17"/>
    </row>
    <row r="23" spans="1:2" ht="16" customHeight="1" x14ac:dyDescent="0.2">
      <c r="A23" s="30">
        <v>8</v>
      </c>
      <c r="B23" s="27" t="s">
        <v>70</v>
      </c>
    </row>
    <row r="24" spans="1:2" x14ac:dyDescent="0.2">
      <c r="A24" s="30"/>
      <c r="B24" s="27"/>
    </row>
    <row r="25" spans="1:2" ht="17" thickBot="1" x14ac:dyDescent="0.25">
      <c r="A25" s="31"/>
      <c r="B25" s="28"/>
    </row>
  </sheetData>
  <sheetProtection algorithmName="SHA-512" hashValue="eox53KxFtwzyfVxr7MDxx8Ds3I6IvTMpZwRL7vfNWGyi2UP6auamxnqwzGstHQcvSBwdOPV5aFLF5uNUuMp93w==" saltValue="zlyZtbqAmCIoXJmw9/+zXw==" spinCount="100000" sheet="1" objects="1" scenarios="1" selectLockedCells="1"/>
  <mergeCells count="12">
    <mergeCell ref="B18:B19"/>
    <mergeCell ref="B23:B25"/>
    <mergeCell ref="A1:A3"/>
    <mergeCell ref="A7:A9"/>
    <mergeCell ref="A11:A13"/>
    <mergeCell ref="A15:A16"/>
    <mergeCell ref="A18:A19"/>
    <mergeCell ref="A23:A25"/>
    <mergeCell ref="B1:B3"/>
    <mergeCell ref="B7:B9"/>
    <mergeCell ref="B11:B13"/>
    <mergeCell ref="B15:B1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Welcome to Mach One EMC sheet</vt:lpstr>
      <vt:lpstr>Impedance and resonance </vt:lpstr>
      <vt:lpstr>Radiation</vt:lpstr>
      <vt:lpstr>dB</vt:lpstr>
      <vt:lpstr>Switching event</vt:lpstr>
      <vt:lpstr>Wire Connections</vt:lpstr>
      <vt:lpstr>Ferrite Check 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 Zhang</dc:creator>
  <cp:lastModifiedBy>Min Zhang</cp:lastModifiedBy>
  <dcterms:created xsi:type="dcterms:W3CDTF">2022-08-08T19:11:33Z</dcterms:created>
  <dcterms:modified xsi:type="dcterms:W3CDTF">2022-08-09T09:06:48Z</dcterms:modified>
</cp:coreProperties>
</file>